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_3li\Downloads\"/>
    </mc:Choice>
  </mc:AlternateContent>
  <xr:revisionPtr revIDLastSave="0" documentId="13_ncr:1_{99948A25-87CE-4E96-8745-E343E52EC84D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COVER" sheetId="1" r:id="rId1"/>
    <sheet name="INDEX" sheetId="2" r:id="rId2"/>
    <sheet name="ASSUMPTIONS" sheetId="3" r:id="rId3"/>
    <sheet name="CAPEX" sheetId="4" r:id="rId4"/>
    <sheet name="REVENUE" sheetId="5" r:id="rId5"/>
    <sheet name="P&amp;L" sheetId="6" r:id="rId6"/>
    <sheet name="OPEX" sheetId="7" r:id="rId7"/>
    <sheet name="WORKING_CAPITAL" sheetId="8" r:id="rId8"/>
    <sheet name="DCF_VALUATION" sheetId="9" r:id="rId9"/>
    <sheet name="RETURNS_IRR" sheetId="10" r:id="rId10"/>
    <sheet name="SENSITIVITY" sheetId="11" r:id="rId11"/>
    <sheet name="BREAK_EVEN" sheetId="12" r:id="rId12"/>
    <sheet name="INVESTOR_DASHBOARD" sheetId="14" r:id="rId13"/>
    <sheet name="INVESTOR_SUMMARY" sheetId="15" r:id="rId1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9" l="1"/>
  <c r="C7" i="9"/>
  <c r="C11" i="12"/>
  <c r="C13" i="12" s="1"/>
  <c r="C15" i="12" s="1"/>
  <c r="C10" i="12"/>
  <c r="C12" i="12" s="1"/>
  <c r="C7" i="12"/>
  <c r="E23" i="10"/>
  <c r="D23" i="10"/>
  <c r="C23" i="10"/>
  <c r="E15" i="10"/>
  <c r="D15" i="10"/>
  <c r="C15" i="10"/>
  <c r="E14" i="10"/>
  <c r="D14" i="10"/>
  <c r="C14" i="10"/>
  <c r="E12" i="10"/>
  <c r="D12" i="10"/>
  <c r="C12" i="10"/>
  <c r="C27" i="9"/>
  <c r="C28" i="9" s="1"/>
  <c r="G18" i="9"/>
  <c r="F18" i="9"/>
  <c r="E18" i="9"/>
  <c r="D18" i="9"/>
  <c r="C18" i="9"/>
  <c r="C6" i="9"/>
  <c r="C5" i="9"/>
  <c r="C4" i="9"/>
  <c r="G13" i="8"/>
  <c r="F13" i="8"/>
  <c r="E13" i="8"/>
  <c r="D13" i="8"/>
  <c r="C13" i="8"/>
  <c r="G12" i="8"/>
  <c r="F12" i="8"/>
  <c r="E12" i="8"/>
  <c r="D12" i="8"/>
  <c r="C12" i="8"/>
  <c r="N20" i="7"/>
  <c r="M20" i="7"/>
  <c r="L20" i="7"/>
  <c r="K20" i="7"/>
  <c r="J20" i="7"/>
  <c r="I20" i="7"/>
  <c r="H20" i="7"/>
  <c r="G20" i="7"/>
  <c r="F20" i="7"/>
  <c r="E20" i="7"/>
  <c r="D20" i="7"/>
  <c r="C20" i="7"/>
  <c r="O20" i="7" s="1"/>
  <c r="P20" i="7" s="1"/>
  <c r="O19" i="7"/>
  <c r="O18" i="7"/>
  <c r="O17" i="7"/>
  <c r="O16" i="7"/>
  <c r="O15" i="7"/>
  <c r="O14" i="7"/>
  <c r="N12" i="7"/>
  <c r="M12" i="7"/>
  <c r="L12" i="7"/>
  <c r="K12" i="7"/>
  <c r="J12" i="7"/>
  <c r="O12" i="7" s="1"/>
  <c r="P12" i="7" s="1"/>
  <c r="I12" i="7"/>
  <c r="H12" i="7"/>
  <c r="G12" i="7"/>
  <c r="F12" i="7"/>
  <c r="E12" i="7"/>
  <c r="D12" i="7"/>
  <c r="C12" i="7"/>
  <c r="O11" i="7"/>
  <c r="O10" i="7"/>
  <c r="O9" i="7"/>
  <c r="O8" i="7"/>
  <c r="O7" i="7"/>
  <c r="O6" i="7"/>
  <c r="O5" i="7"/>
  <c r="O4" i="7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E10" i="6" s="1"/>
  <c r="D9" i="6"/>
  <c r="D10" i="6" s="1"/>
  <c r="C9" i="6"/>
  <c r="C10" i="6" s="1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N13" i="5"/>
  <c r="AN15" i="5" s="1"/>
  <c r="AM13" i="5"/>
  <c r="AM15" i="5" s="1"/>
  <c r="AL13" i="5"/>
  <c r="AL15" i="5" s="1"/>
  <c r="AK13" i="5"/>
  <c r="AK15" i="5" s="1"/>
  <c r="AJ13" i="5"/>
  <c r="AJ15" i="5" s="1"/>
  <c r="AI13" i="5"/>
  <c r="AI15" i="5" s="1"/>
  <c r="AH13" i="5"/>
  <c r="AH15" i="5" s="1"/>
  <c r="AG13" i="5"/>
  <c r="AG15" i="5" s="1"/>
  <c r="AF13" i="5"/>
  <c r="AF15" i="5" s="1"/>
  <c r="AE13" i="5"/>
  <c r="AE15" i="5" s="1"/>
  <c r="AD13" i="5"/>
  <c r="AD15" i="5" s="1"/>
  <c r="AC13" i="5"/>
  <c r="AC15" i="5" s="1"/>
  <c r="AB13" i="5"/>
  <c r="AB15" i="5" s="1"/>
  <c r="AA13" i="5"/>
  <c r="AA15" i="5" s="1"/>
  <c r="Z13" i="5"/>
  <c r="Z15" i="5" s="1"/>
  <c r="Y13" i="5"/>
  <c r="Y15" i="5" s="1"/>
  <c r="X13" i="5"/>
  <c r="X15" i="5" s="1"/>
  <c r="W13" i="5"/>
  <c r="W15" i="5" s="1"/>
  <c r="V13" i="5"/>
  <c r="V15" i="5" s="1"/>
  <c r="U13" i="5"/>
  <c r="U15" i="5" s="1"/>
  <c r="T13" i="5"/>
  <c r="T15" i="5" s="1"/>
  <c r="S13" i="5"/>
  <c r="S15" i="5" s="1"/>
  <c r="R13" i="5"/>
  <c r="R15" i="5" s="1"/>
  <c r="Q13" i="5"/>
  <c r="Q15" i="5" s="1"/>
  <c r="P13" i="5"/>
  <c r="P15" i="5" s="1"/>
  <c r="O13" i="5"/>
  <c r="O15" i="5" s="1"/>
  <c r="N13" i="5"/>
  <c r="N15" i="5" s="1"/>
  <c r="M13" i="5"/>
  <c r="M15" i="5" s="1"/>
  <c r="L13" i="5"/>
  <c r="L15" i="5" s="1"/>
  <c r="K13" i="5"/>
  <c r="K15" i="5" s="1"/>
  <c r="J13" i="5"/>
  <c r="J15" i="5" s="1"/>
  <c r="I13" i="5"/>
  <c r="I15" i="5" s="1"/>
  <c r="H13" i="5"/>
  <c r="H15" i="5" s="1"/>
  <c r="G13" i="5"/>
  <c r="G15" i="5" s="1"/>
  <c r="F13" i="5"/>
  <c r="F15" i="5" s="1"/>
  <c r="E13" i="5"/>
  <c r="E15" i="5" s="1"/>
  <c r="D13" i="5"/>
  <c r="D15" i="5" s="1"/>
  <c r="C13" i="5"/>
  <c r="C15" i="5" s="1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N6" i="5"/>
  <c r="AN12" i="5" s="1"/>
  <c r="AN16" i="5" s="1"/>
  <c r="AN17" i="5" s="1"/>
  <c r="AM6" i="5"/>
  <c r="AM12" i="5" s="1"/>
  <c r="AM16" i="5" s="1"/>
  <c r="AM17" i="5" s="1"/>
  <c r="AL6" i="5"/>
  <c r="AL12" i="5" s="1"/>
  <c r="AL16" i="5" s="1"/>
  <c r="AL17" i="5" s="1"/>
  <c r="AK6" i="5"/>
  <c r="AK12" i="5" s="1"/>
  <c r="AK16" i="5" s="1"/>
  <c r="AK17" i="5" s="1"/>
  <c r="AJ6" i="5"/>
  <c r="AJ12" i="5" s="1"/>
  <c r="AJ16" i="5" s="1"/>
  <c r="AJ17" i="5" s="1"/>
  <c r="AI6" i="5"/>
  <c r="AI12" i="5" s="1"/>
  <c r="AI16" i="5" s="1"/>
  <c r="AI17" i="5" s="1"/>
  <c r="AH6" i="5"/>
  <c r="AH12" i="5" s="1"/>
  <c r="AH16" i="5" s="1"/>
  <c r="AH17" i="5" s="1"/>
  <c r="AG6" i="5"/>
  <c r="AG12" i="5" s="1"/>
  <c r="AG16" i="5" s="1"/>
  <c r="AG17" i="5" s="1"/>
  <c r="AF6" i="5"/>
  <c r="AF12" i="5" s="1"/>
  <c r="AF16" i="5" s="1"/>
  <c r="AF17" i="5" s="1"/>
  <c r="AE6" i="5"/>
  <c r="AE12" i="5" s="1"/>
  <c r="AE16" i="5" s="1"/>
  <c r="AE17" i="5" s="1"/>
  <c r="AD6" i="5"/>
  <c r="AD12" i="5" s="1"/>
  <c r="AD16" i="5" s="1"/>
  <c r="AD17" i="5" s="1"/>
  <c r="AC6" i="5"/>
  <c r="AC12" i="5" s="1"/>
  <c r="AC16" i="5" s="1"/>
  <c r="AC17" i="5" s="1"/>
  <c r="AB6" i="5"/>
  <c r="AB12" i="5" s="1"/>
  <c r="AB16" i="5" s="1"/>
  <c r="AB17" i="5" s="1"/>
  <c r="AA6" i="5"/>
  <c r="AA12" i="5" s="1"/>
  <c r="AA16" i="5" s="1"/>
  <c r="AA17" i="5" s="1"/>
  <c r="Z6" i="5"/>
  <c r="Z12" i="5" s="1"/>
  <c r="Z16" i="5" s="1"/>
  <c r="Z17" i="5" s="1"/>
  <c r="Y6" i="5"/>
  <c r="Y12" i="5" s="1"/>
  <c r="Y16" i="5" s="1"/>
  <c r="Y17" i="5" s="1"/>
  <c r="X6" i="5"/>
  <c r="X12" i="5" s="1"/>
  <c r="X16" i="5" s="1"/>
  <c r="X17" i="5" s="1"/>
  <c r="W6" i="5"/>
  <c r="W12" i="5" s="1"/>
  <c r="W16" i="5" s="1"/>
  <c r="W17" i="5" s="1"/>
  <c r="V6" i="5"/>
  <c r="V12" i="5" s="1"/>
  <c r="V16" i="5" s="1"/>
  <c r="V17" i="5" s="1"/>
  <c r="U6" i="5"/>
  <c r="U12" i="5" s="1"/>
  <c r="U16" i="5" s="1"/>
  <c r="U17" i="5" s="1"/>
  <c r="T6" i="5"/>
  <c r="T12" i="5" s="1"/>
  <c r="T16" i="5" s="1"/>
  <c r="T17" i="5" s="1"/>
  <c r="S6" i="5"/>
  <c r="S12" i="5" s="1"/>
  <c r="S16" i="5" s="1"/>
  <c r="S17" i="5" s="1"/>
  <c r="R6" i="5"/>
  <c r="R12" i="5" s="1"/>
  <c r="R16" i="5" s="1"/>
  <c r="R17" i="5" s="1"/>
  <c r="Q6" i="5"/>
  <c r="Q12" i="5" s="1"/>
  <c r="Q16" i="5" s="1"/>
  <c r="Q17" i="5" s="1"/>
  <c r="P6" i="5"/>
  <c r="P12" i="5" s="1"/>
  <c r="P16" i="5" s="1"/>
  <c r="P17" i="5" s="1"/>
  <c r="O6" i="5"/>
  <c r="O12" i="5" s="1"/>
  <c r="O16" i="5" s="1"/>
  <c r="O17" i="5" s="1"/>
  <c r="N6" i="5"/>
  <c r="N12" i="5" s="1"/>
  <c r="N16" i="5" s="1"/>
  <c r="N17" i="5" s="1"/>
  <c r="M6" i="5"/>
  <c r="M12" i="5" s="1"/>
  <c r="M16" i="5" s="1"/>
  <c r="M17" i="5" s="1"/>
  <c r="L6" i="5"/>
  <c r="L12" i="5" s="1"/>
  <c r="L16" i="5" s="1"/>
  <c r="L17" i="5" s="1"/>
  <c r="K6" i="5"/>
  <c r="K12" i="5" s="1"/>
  <c r="K16" i="5" s="1"/>
  <c r="K17" i="5" s="1"/>
  <c r="J6" i="5"/>
  <c r="J12" i="5" s="1"/>
  <c r="J16" i="5" s="1"/>
  <c r="J17" i="5" s="1"/>
  <c r="I6" i="5"/>
  <c r="I12" i="5" s="1"/>
  <c r="I16" i="5" s="1"/>
  <c r="I17" i="5" s="1"/>
  <c r="H6" i="5"/>
  <c r="H12" i="5" s="1"/>
  <c r="H16" i="5" s="1"/>
  <c r="H17" i="5" s="1"/>
  <c r="G6" i="5"/>
  <c r="G12" i="5" s="1"/>
  <c r="G16" i="5" s="1"/>
  <c r="G17" i="5" s="1"/>
  <c r="F6" i="5"/>
  <c r="F12" i="5" s="1"/>
  <c r="F16" i="5" s="1"/>
  <c r="F17" i="5" s="1"/>
  <c r="E6" i="5"/>
  <c r="E12" i="5" s="1"/>
  <c r="E16" i="5" s="1"/>
  <c r="E17" i="5" s="1"/>
  <c r="D6" i="5"/>
  <c r="D12" i="5" s="1"/>
  <c r="D16" i="5" s="1"/>
  <c r="D17" i="5" s="1"/>
  <c r="C6" i="5"/>
  <c r="C12" i="5" s="1"/>
  <c r="C16" i="5" s="1"/>
  <c r="C17" i="5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2" i="4" s="1"/>
  <c r="F58" i="3"/>
  <c r="F57" i="3"/>
  <c r="F56" i="3"/>
  <c r="F55" i="3"/>
  <c r="F54" i="3"/>
  <c r="F53" i="3"/>
  <c r="F50" i="3"/>
  <c r="F49" i="3"/>
  <c r="F48" i="3"/>
  <c r="F47" i="3"/>
  <c r="F46" i="3"/>
  <c r="F45" i="3"/>
  <c r="F44" i="3"/>
  <c r="F43" i="3"/>
  <c r="F42" i="3"/>
  <c r="F41" i="3"/>
  <c r="F40" i="3"/>
  <c r="F39" i="3"/>
  <c r="F36" i="3"/>
  <c r="F35" i="3"/>
  <c r="F34" i="3"/>
  <c r="F33" i="3"/>
  <c r="F32" i="3"/>
  <c r="F31" i="3"/>
  <c r="F30" i="3"/>
  <c r="F29" i="3"/>
  <c r="F28" i="3"/>
  <c r="F25" i="3"/>
  <c r="F24" i="3"/>
  <c r="F23" i="3"/>
  <c r="F22" i="3"/>
  <c r="F21" i="3"/>
  <c r="F20" i="3"/>
  <c r="F19" i="3"/>
  <c r="F18" i="3"/>
  <c r="F17" i="3"/>
  <c r="F16" i="3"/>
  <c r="F13" i="3"/>
  <c r="F12" i="3"/>
  <c r="F11" i="3"/>
  <c r="F10" i="3"/>
  <c r="F9" i="3"/>
  <c r="F8" i="3"/>
  <c r="F7" i="3"/>
  <c r="C14" i="12" l="1"/>
  <c r="C17" i="12"/>
  <c r="C18" i="12" s="1"/>
  <c r="E18" i="10"/>
  <c r="E16" i="10"/>
  <c r="D18" i="10"/>
  <c r="D16" i="10"/>
  <c r="C18" i="10"/>
  <c r="C16" i="10"/>
  <c r="C25" i="9"/>
  <c r="C26" i="9" s="1"/>
  <c r="F20" i="9"/>
  <c r="F21" i="9" s="1"/>
  <c r="E20" i="9"/>
  <c r="E21" i="9" s="1"/>
  <c r="G20" i="9"/>
  <c r="G21" i="9" s="1"/>
  <c r="C20" i="9"/>
  <c r="C21" i="9" s="1"/>
  <c r="D20" i="9"/>
  <c r="D21" i="9" s="1"/>
  <c r="AN11" i="6"/>
  <c r="AN22" i="6"/>
  <c r="AM22" i="6"/>
  <c r="AM11" i="6"/>
  <c r="AL22" i="6"/>
  <c r="AL11" i="6"/>
  <c r="AK22" i="6"/>
  <c r="AK11" i="6"/>
  <c r="AJ22" i="6"/>
  <c r="AJ11" i="6"/>
  <c r="AI22" i="6"/>
  <c r="AI11" i="6"/>
  <c r="AH11" i="6"/>
  <c r="AH22" i="6"/>
  <c r="AG22" i="6"/>
  <c r="AG11" i="6"/>
  <c r="AF22" i="6"/>
  <c r="AF11" i="6"/>
  <c r="AE22" i="6"/>
  <c r="AE11" i="6"/>
  <c r="AD22" i="6"/>
  <c r="AD11" i="6"/>
  <c r="AC22" i="6"/>
  <c r="AC11" i="6"/>
  <c r="AB22" i="6"/>
  <c r="AB11" i="6"/>
  <c r="AA22" i="6"/>
  <c r="AA11" i="6"/>
  <c r="Z11" i="6"/>
  <c r="Z22" i="6"/>
  <c r="Y11" i="6"/>
  <c r="Y22" i="6"/>
  <c r="X11" i="6"/>
  <c r="X22" i="6"/>
  <c r="W22" i="6"/>
  <c r="W11" i="6"/>
  <c r="V22" i="6"/>
  <c r="V11" i="6"/>
  <c r="U22" i="6"/>
  <c r="U11" i="6"/>
  <c r="T11" i="6"/>
  <c r="T22" i="6"/>
  <c r="S22" i="6"/>
  <c r="S11" i="6"/>
  <c r="R11" i="6"/>
  <c r="R22" i="6"/>
  <c r="Q22" i="6"/>
  <c r="Q11" i="6"/>
  <c r="P22" i="6"/>
  <c r="P11" i="6"/>
  <c r="O22" i="6"/>
  <c r="O11" i="6"/>
  <c r="N22" i="6"/>
  <c r="N11" i="6"/>
  <c r="M22" i="6"/>
  <c r="M11" i="6"/>
  <c r="L22" i="6"/>
  <c r="L11" i="6"/>
  <c r="K11" i="6"/>
  <c r="K22" i="6"/>
  <c r="J11" i="6"/>
  <c r="J22" i="6"/>
  <c r="I11" i="6"/>
  <c r="I22" i="6"/>
  <c r="H22" i="6"/>
  <c r="H11" i="6"/>
  <c r="G22" i="6"/>
  <c r="G11" i="6"/>
  <c r="F22" i="6"/>
  <c r="F11" i="6"/>
  <c r="E11" i="6"/>
  <c r="E22" i="6"/>
  <c r="D11" i="6"/>
  <c r="D22" i="6"/>
  <c r="C11" i="6"/>
  <c r="C22" i="6"/>
  <c r="G26" i="4"/>
  <c r="G33" i="4" s="1"/>
  <c r="F33" i="4"/>
  <c r="E13" i="10"/>
  <c r="C13" i="10"/>
  <c r="D13" i="10"/>
  <c r="AN23" i="6" l="1"/>
  <c r="AN25" i="6"/>
  <c r="AN27" i="6" s="1"/>
  <c r="AM23" i="6"/>
  <c r="AM25" i="6"/>
  <c r="AM27" i="6" s="1"/>
  <c r="AL23" i="6"/>
  <c r="AL25" i="6"/>
  <c r="AL27" i="6" s="1"/>
  <c r="AK23" i="6"/>
  <c r="AK25" i="6"/>
  <c r="AK27" i="6" s="1"/>
  <c r="AJ23" i="6"/>
  <c r="AJ25" i="6"/>
  <c r="AJ27" i="6" s="1"/>
  <c r="AI23" i="6"/>
  <c r="AI25" i="6"/>
  <c r="AI27" i="6" s="1"/>
  <c r="AH23" i="6"/>
  <c r="AH25" i="6"/>
  <c r="AH27" i="6" s="1"/>
  <c r="AG23" i="6"/>
  <c r="AG25" i="6"/>
  <c r="AG27" i="6" s="1"/>
  <c r="AF23" i="6"/>
  <c r="AF25" i="6"/>
  <c r="AF27" i="6" s="1"/>
  <c r="AE23" i="6"/>
  <c r="AE25" i="6"/>
  <c r="AE27" i="6" s="1"/>
  <c r="AD23" i="6"/>
  <c r="AD25" i="6"/>
  <c r="AD27" i="6" s="1"/>
  <c r="AC23" i="6"/>
  <c r="AC25" i="6"/>
  <c r="AC27" i="6" s="1"/>
  <c r="AB23" i="6"/>
  <c r="AB25" i="6"/>
  <c r="AB27" i="6" s="1"/>
  <c r="AA23" i="6"/>
  <c r="AA25" i="6"/>
  <c r="AA27" i="6" s="1"/>
  <c r="Z23" i="6"/>
  <c r="Z25" i="6"/>
  <c r="Z27" i="6" s="1"/>
  <c r="Y23" i="6"/>
  <c r="Y25" i="6"/>
  <c r="Y27" i="6" s="1"/>
  <c r="X23" i="6"/>
  <c r="X25" i="6"/>
  <c r="X27" i="6" s="1"/>
  <c r="W23" i="6"/>
  <c r="W25" i="6"/>
  <c r="W27" i="6" s="1"/>
  <c r="V23" i="6"/>
  <c r="V25" i="6"/>
  <c r="V27" i="6" s="1"/>
  <c r="U23" i="6"/>
  <c r="U25" i="6"/>
  <c r="U27" i="6" s="1"/>
  <c r="T23" i="6"/>
  <c r="T25" i="6"/>
  <c r="T27" i="6" s="1"/>
  <c r="S23" i="6"/>
  <c r="S25" i="6"/>
  <c r="S27" i="6" s="1"/>
  <c r="R23" i="6"/>
  <c r="R25" i="6"/>
  <c r="R27" i="6" s="1"/>
  <c r="Q23" i="6"/>
  <c r="Q25" i="6"/>
  <c r="Q27" i="6" s="1"/>
  <c r="P23" i="6"/>
  <c r="P25" i="6"/>
  <c r="P27" i="6" s="1"/>
  <c r="O23" i="6"/>
  <c r="O25" i="6"/>
  <c r="O27" i="6" s="1"/>
  <c r="N23" i="6"/>
  <c r="N25" i="6"/>
  <c r="N27" i="6" s="1"/>
  <c r="M23" i="6"/>
  <c r="M25" i="6"/>
  <c r="M27" i="6" s="1"/>
  <c r="L23" i="6"/>
  <c r="L25" i="6"/>
  <c r="L27" i="6" s="1"/>
  <c r="K23" i="6"/>
  <c r="K25" i="6"/>
  <c r="K27" i="6" s="1"/>
  <c r="J23" i="6"/>
  <c r="J25" i="6"/>
  <c r="J27" i="6" s="1"/>
  <c r="I23" i="6"/>
  <c r="I25" i="6"/>
  <c r="I27" i="6" s="1"/>
  <c r="H23" i="6"/>
  <c r="H25" i="6"/>
  <c r="H27" i="6" s="1"/>
  <c r="G23" i="6"/>
  <c r="G25" i="6"/>
  <c r="G27" i="6" s="1"/>
  <c r="F23" i="6"/>
  <c r="F25" i="6"/>
  <c r="F27" i="6" s="1"/>
  <c r="E23" i="6"/>
  <c r="E25" i="6"/>
  <c r="E27" i="6" s="1"/>
  <c r="D23" i="6"/>
  <c r="D25" i="6"/>
  <c r="D27" i="6" s="1"/>
  <c r="C23" i="6"/>
  <c r="C25" i="6"/>
  <c r="C27" i="6" s="1"/>
  <c r="C22" i="9"/>
  <c r="AN28" i="6" l="1"/>
  <c r="AN29" i="6" s="1"/>
  <c r="AN30" i="6" s="1"/>
  <c r="AM28" i="6"/>
  <c r="AM29" i="6" s="1"/>
  <c r="AM30" i="6" s="1"/>
  <c r="AL28" i="6"/>
  <c r="AL29" i="6" s="1"/>
  <c r="AL30" i="6" s="1"/>
  <c r="AK28" i="6"/>
  <c r="AK29" i="6" s="1"/>
  <c r="AK30" i="6" s="1"/>
  <c r="AJ28" i="6"/>
  <c r="AJ29" i="6" s="1"/>
  <c r="AJ30" i="6" s="1"/>
  <c r="AI28" i="6"/>
  <c r="AI29" i="6" s="1"/>
  <c r="AI30" i="6" s="1"/>
  <c r="AH28" i="6"/>
  <c r="AH29" i="6" s="1"/>
  <c r="AH30" i="6" s="1"/>
  <c r="AG28" i="6"/>
  <c r="AG29" i="6" s="1"/>
  <c r="AG30" i="6" s="1"/>
  <c r="AF28" i="6"/>
  <c r="AF29" i="6" s="1"/>
  <c r="AF30" i="6" s="1"/>
  <c r="AE28" i="6"/>
  <c r="AE29" i="6" s="1"/>
  <c r="AE30" i="6" s="1"/>
  <c r="AD28" i="6"/>
  <c r="AD29" i="6" s="1"/>
  <c r="AD30" i="6" s="1"/>
  <c r="AC28" i="6"/>
  <c r="AC29" i="6"/>
  <c r="AC30" i="6" s="1"/>
  <c r="AB28" i="6"/>
  <c r="AB29" i="6" s="1"/>
  <c r="AB30" i="6" s="1"/>
  <c r="AA28" i="6"/>
  <c r="AA29" i="6" s="1"/>
  <c r="AA30" i="6" s="1"/>
  <c r="Z28" i="6"/>
  <c r="Z29" i="6" s="1"/>
  <c r="Z30" i="6" s="1"/>
  <c r="Y28" i="6"/>
  <c r="Y29" i="6" s="1"/>
  <c r="Y30" i="6" s="1"/>
  <c r="X28" i="6"/>
  <c r="X29" i="6"/>
  <c r="X30" i="6" s="1"/>
  <c r="W28" i="6"/>
  <c r="W29" i="6" s="1"/>
  <c r="W30" i="6" s="1"/>
  <c r="V28" i="6"/>
  <c r="V29" i="6" s="1"/>
  <c r="V30" i="6" s="1"/>
  <c r="U28" i="6"/>
  <c r="U29" i="6" s="1"/>
  <c r="U30" i="6" s="1"/>
  <c r="T28" i="6"/>
  <c r="T29" i="6" s="1"/>
  <c r="T30" i="6" s="1"/>
  <c r="S28" i="6"/>
  <c r="S29" i="6" s="1"/>
  <c r="S30" i="6" s="1"/>
  <c r="R28" i="6"/>
  <c r="R29" i="6" s="1"/>
  <c r="R30" i="6" s="1"/>
  <c r="Q28" i="6"/>
  <c r="Q29" i="6"/>
  <c r="Q30" i="6" s="1"/>
  <c r="P28" i="6"/>
  <c r="P29" i="6" s="1"/>
  <c r="P30" i="6" s="1"/>
  <c r="O28" i="6"/>
  <c r="O29" i="6" s="1"/>
  <c r="O30" i="6" s="1"/>
  <c r="N28" i="6"/>
  <c r="N29" i="6" s="1"/>
  <c r="N30" i="6" s="1"/>
  <c r="M28" i="6"/>
  <c r="M29" i="6" s="1"/>
  <c r="M30" i="6" s="1"/>
  <c r="L28" i="6"/>
  <c r="L29" i="6" s="1"/>
  <c r="L30" i="6" s="1"/>
  <c r="K28" i="6"/>
  <c r="K29" i="6" s="1"/>
  <c r="K30" i="6" s="1"/>
  <c r="J28" i="6"/>
  <c r="J29" i="6" s="1"/>
  <c r="J30" i="6" s="1"/>
  <c r="I28" i="6"/>
  <c r="I29" i="6" s="1"/>
  <c r="I30" i="6" s="1"/>
  <c r="H28" i="6"/>
  <c r="H29" i="6" s="1"/>
  <c r="H30" i="6" s="1"/>
  <c r="G28" i="6"/>
  <c r="G29" i="6" s="1"/>
  <c r="G30" i="6" s="1"/>
  <c r="F28" i="6"/>
  <c r="F29" i="6" s="1"/>
  <c r="F30" i="6" s="1"/>
  <c r="E28" i="6"/>
  <c r="E29" i="6" s="1"/>
  <c r="E30" i="6" s="1"/>
  <c r="D28" i="6"/>
  <c r="D29" i="6" s="1"/>
  <c r="D30" i="6" s="1"/>
  <c r="C28" i="6"/>
  <c r="C29" i="6" s="1"/>
  <c r="C30" i="6" s="1"/>
  <c r="C31" i="9"/>
  <c r="C32" i="9"/>
  <c r="C33" i="9" l="1"/>
  <c r="C38" i="9" l="1"/>
  <c r="C37" i="9"/>
  <c r="C35" i="9"/>
  <c r="C36" i="9" s="1"/>
</calcChain>
</file>

<file path=xl/sharedStrings.xml><?xml version="1.0" encoding="utf-8"?>
<sst xmlns="http://schemas.openxmlformats.org/spreadsheetml/2006/main" count="704" uniqueCount="612">
  <si>
    <t>⚓</t>
  </si>
  <si>
    <t>ROYAL MARINE SHIPBUILDING &amp; SERVICES</t>
  </si>
  <si>
    <r>
      <rPr>
        <i/>
        <sz val="14"/>
        <color rgb="FFF0D080"/>
        <rFont val="Calibri"/>
        <charset val="1"/>
      </rPr>
      <t xml:space="preserve">INVESTOR FINANCIAL MODEL  |  </t>
    </r>
    <r>
      <rPr>
        <i/>
        <sz val="14"/>
        <color rgb="FFF0D080"/>
        <rFont val="FreeSans"/>
        <family val="2"/>
      </rPr>
      <t>نموذج مالي للمستثمرين</t>
    </r>
  </si>
  <si>
    <t>Investment Opportunity</t>
  </si>
  <si>
    <t>فرصة استثمارية</t>
  </si>
  <si>
    <t>Libya – Marine Manufacturing</t>
  </si>
  <si>
    <t>ليبيا – التصنيع البحري</t>
  </si>
  <si>
    <t>5-Year Financial Projections</t>
  </si>
  <si>
    <t>توقعات مالية لـ 5 سنوات</t>
  </si>
  <si>
    <t>Base Case  |  Bull Case  |  Bear Case</t>
  </si>
  <si>
    <t>الحالة الأساسية | المتفائلة | المتشائمة</t>
  </si>
  <si>
    <r>
      <rPr>
        <b/>
        <sz val="12"/>
        <color rgb="FFC9A84C"/>
        <rFont val="Calibri"/>
        <charset val="1"/>
      </rPr>
      <t xml:space="preserve">KEY FINANCIAL HIGHLIGHTS  |  </t>
    </r>
    <r>
      <rPr>
        <b/>
        <sz val="12"/>
        <color rgb="FFC9A84C"/>
        <rFont val="FreeSans"/>
        <family val="2"/>
      </rPr>
      <t>أبرز المؤشرات المالية</t>
    </r>
  </si>
  <si>
    <r>
      <rPr>
        <sz val="9"/>
        <color rgb="FF8A95A3"/>
        <rFont val="Calibri"/>
        <charset val="1"/>
      </rPr>
      <t xml:space="preserve">Initial CAPEX (Sirte) | </t>
    </r>
    <r>
      <rPr>
        <sz val="9"/>
        <color rgb="FF8A95A3"/>
        <rFont val="FreeSans"/>
        <family val="2"/>
      </rPr>
      <t xml:space="preserve">رأس المال الأولي </t>
    </r>
    <r>
      <rPr>
        <sz val="9"/>
        <color rgb="FF8A95A3"/>
        <rFont val="Calibri"/>
        <charset val="1"/>
      </rPr>
      <t>(</t>
    </r>
    <r>
      <rPr>
        <sz val="9"/>
        <color rgb="FF8A95A3"/>
        <rFont val="FreeSans"/>
        <family val="2"/>
      </rPr>
      <t>سرت</t>
    </r>
    <r>
      <rPr>
        <sz val="9"/>
        <color rgb="FF8A95A3"/>
        <rFont val="Calibri"/>
        <charset val="1"/>
      </rPr>
      <t>)</t>
    </r>
  </si>
  <si>
    <r>
      <rPr>
        <sz val="9"/>
        <color rgb="FF8A95A3"/>
        <rFont val="Calibri"/>
        <charset val="1"/>
      </rPr>
      <t xml:space="preserve">Monthly Revenue (Base) | </t>
    </r>
    <r>
      <rPr>
        <sz val="9"/>
        <color rgb="FF8A95A3"/>
        <rFont val="FreeSans"/>
        <family val="2"/>
      </rPr>
      <t>الإيرادات الشهرية</t>
    </r>
  </si>
  <si>
    <r>
      <rPr>
        <sz val="9"/>
        <color rgb="FF8A95A3"/>
        <rFont val="Calibri"/>
        <charset val="1"/>
      </rPr>
      <t xml:space="preserve">Net Profit Margin | </t>
    </r>
    <r>
      <rPr>
        <sz val="9"/>
        <color rgb="FF8A95A3"/>
        <rFont val="FreeSans"/>
        <family val="2"/>
      </rPr>
      <t>هامش صافي الربح</t>
    </r>
  </si>
  <si>
    <t>1.81M LYD</t>
  </si>
  <si>
    <t>380K LYD</t>
  </si>
  <si>
    <t>~40%</t>
  </si>
  <si>
    <r>
      <rPr>
        <sz val="9"/>
        <color rgb="FF8A95A3"/>
        <rFont val="Calibri"/>
        <charset val="1"/>
      </rPr>
      <t xml:space="preserve">Payback Period | </t>
    </r>
    <r>
      <rPr>
        <sz val="9"/>
        <color rgb="FF8A95A3"/>
        <rFont val="FreeSans"/>
        <family val="2"/>
      </rPr>
      <t>فترة الاسترداد</t>
    </r>
  </si>
  <si>
    <r>
      <rPr>
        <sz val="9"/>
        <color rgb="FF8A95A3"/>
        <rFont val="Calibri"/>
        <charset val="1"/>
      </rPr>
      <t xml:space="preserve">5-Year IRR | </t>
    </r>
    <r>
      <rPr>
        <sz val="9"/>
        <color rgb="FF8A95A3"/>
        <rFont val="FreeSans"/>
        <family val="2"/>
      </rPr>
      <t>معدل العائد الداخلي</t>
    </r>
  </si>
  <si>
    <r>
      <rPr>
        <sz val="9"/>
        <color rgb="FF8A95A3"/>
        <rFont val="Calibri"/>
        <charset val="1"/>
      </rPr>
      <t xml:space="preserve">Investor Equity | </t>
    </r>
    <r>
      <rPr>
        <sz val="9"/>
        <color rgb="FF8A95A3"/>
        <rFont val="FreeSans"/>
        <family val="2"/>
      </rPr>
      <t>حصة المستثمر</t>
    </r>
  </si>
  <si>
    <t>~30 Months</t>
  </si>
  <si>
    <t>~37%+ p.a.</t>
  </si>
  <si>
    <t>20%</t>
  </si>
  <si>
    <r>
      <rPr>
        <i/>
        <sz val="9"/>
        <color rgb="FF8A95A3"/>
        <rFont val="Calibri"/>
        <charset val="1"/>
      </rPr>
      <t xml:space="preserve">CONFIDENTIAL – FOR AUTHORIZED INVESTORS ONLY
This document contains proprietary financial information of Royal Marine Shipbuilding &amp; Services.
</t>
    </r>
    <r>
      <rPr>
        <i/>
        <sz val="9"/>
        <color rgb="FF8A95A3"/>
        <rFont val="FreeSans"/>
        <family val="2"/>
      </rPr>
      <t>سري – للمستثمرين المعتمدين فقط | هذه الوثيقة تحتوي على معلومات مالية خاصة</t>
    </r>
  </si>
  <si>
    <r>
      <rPr>
        <sz val="10"/>
        <color rgb="FFFFFFFF"/>
        <rFont val="Calibri"/>
        <charset val="1"/>
      </rPr>
      <t xml:space="preserve">Prepared for: Institutional Investors &amp; Strategic Partners  |  </t>
    </r>
    <r>
      <rPr>
        <sz val="10"/>
        <color rgb="FFFFFFFF"/>
        <rFont val="FreeSans"/>
        <family val="2"/>
      </rPr>
      <t>أُعِدَّ لـ</t>
    </r>
    <r>
      <rPr>
        <sz val="10"/>
        <color rgb="FFFFFFFF"/>
        <rFont val="Calibri"/>
        <charset val="1"/>
      </rPr>
      <t xml:space="preserve">: </t>
    </r>
    <r>
      <rPr>
        <sz val="10"/>
        <color rgb="FFFFFFFF"/>
        <rFont val="FreeSans"/>
        <family val="2"/>
      </rPr>
      <t>المستثمرين المؤسسيين والشركاء الاستراتيجيين</t>
    </r>
  </si>
  <si>
    <r>
      <rPr>
        <b/>
        <sz val="14"/>
        <color rgb="FFC9A84C"/>
        <rFont val="Calibri"/>
        <charset val="1"/>
      </rPr>
      <t xml:space="preserve">  TABLE OF CONTENTS  |  </t>
    </r>
    <r>
      <rPr>
        <b/>
        <sz val="14"/>
        <color rgb="FFC9A84C"/>
        <rFont val="FreeSans"/>
        <family val="2"/>
      </rPr>
      <t xml:space="preserve">فهرس المحتويات  </t>
    </r>
    <r>
      <rPr>
        <b/>
        <sz val="14"/>
        <color rgb="FFC9A84C"/>
        <rFont val="Calibri"/>
        <charset val="1"/>
      </rPr>
      <t>|  Royal Marine Shipbuilding &amp; Services</t>
    </r>
  </si>
  <si>
    <t>#</t>
  </si>
  <si>
    <r>
      <rPr>
        <b/>
        <sz val="9"/>
        <color rgb="FFFFFFFF"/>
        <rFont val="Calibri"/>
        <charset val="1"/>
      </rPr>
      <t xml:space="preserve">Sheet Name | </t>
    </r>
    <r>
      <rPr>
        <b/>
        <sz val="9"/>
        <color rgb="FFFFFFFF"/>
        <rFont val="FreeSans"/>
        <family val="2"/>
      </rPr>
      <t>اسم الورقة</t>
    </r>
  </si>
  <si>
    <r>
      <rPr>
        <b/>
        <sz val="9"/>
        <color rgb="FFFFFFFF"/>
        <rFont val="Calibri"/>
        <charset val="1"/>
      </rPr>
      <t xml:space="preserve">Description | </t>
    </r>
    <r>
      <rPr>
        <b/>
        <sz val="9"/>
        <color rgb="FFFFFFFF"/>
        <rFont val="FreeSans"/>
        <family val="2"/>
      </rPr>
      <t xml:space="preserve">الوصف </t>
    </r>
    <r>
      <rPr>
        <b/>
        <sz val="9"/>
        <color rgb="FFFFFFFF"/>
        <rFont val="Calibri"/>
        <charset val="1"/>
      </rPr>
      <t>(EN)</t>
    </r>
  </si>
  <si>
    <t>الوصف (AR)</t>
  </si>
  <si>
    <t>I</t>
  </si>
  <si>
    <t>COVER</t>
  </si>
  <si>
    <t>Company overview &amp; branding</t>
  </si>
  <si>
    <t>نظرة عامة على الشركة</t>
  </si>
  <si>
    <t>II</t>
  </si>
  <si>
    <t>INDEX</t>
  </si>
  <si>
    <t>Navigation &amp; table of contents</t>
  </si>
  <si>
    <t>فهرس المحتويات</t>
  </si>
  <si>
    <t>III</t>
  </si>
  <si>
    <t>ASSUMPTIONS</t>
  </si>
  <si>
    <t>Global inputs, scenarios &amp; drivers</t>
  </si>
  <si>
    <t>المدخلات والسيناريوهات</t>
  </si>
  <si>
    <t>IV</t>
  </si>
  <si>
    <t>CAPEX</t>
  </si>
  <si>
    <t>Capital expenditure &amp; depreciation</t>
  </si>
  <si>
    <t>النفقات الرأسمالية والاستهلاك</t>
  </si>
  <si>
    <t>V</t>
  </si>
  <si>
    <t>REVENUE</t>
  </si>
  <si>
    <t>Revenue forecast by product/month</t>
  </si>
  <si>
    <t>توقعات الإيرادات</t>
  </si>
  <si>
    <t>VI</t>
  </si>
  <si>
    <t>P&amp;L</t>
  </si>
  <si>
    <t>Full income statement (monthly)</t>
  </si>
  <si>
    <t>قائمة الدخل الكاملة</t>
  </si>
  <si>
    <t>VII</t>
  </si>
  <si>
    <t>OPEX</t>
  </si>
  <si>
    <t>Operating expense detail</t>
  </si>
  <si>
    <t>تفاصيل المصاريف التشغيلية</t>
  </si>
  <si>
    <t>VIII</t>
  </si>
  <si>
    <t>WORKING_CAPITAL</t>
  </si>
  <si>
    <t>AR / inventory / AP schedule</t>
  </si>
  <si>
    <t>جدول رأس المال العامل</t>
  </si>
  <si>
    <t>IX</t>
  </si>
  <si>
    <t>DCF_VALUATION</t>
  </si>
  <si>
    <t>Discounted cash flow &amp; EV</t>
  </si>
  <si>
    <t>التقييم بالتدفق المخصوم</t>
  </si>
  <si>
    <t>X</t>
  </si>
  <si>
    <t>RETURNS_IRR</t>
  </si>
  <si>
    <t>IRR, MOIC, NPV &amp; investor returns</t>
  </si>
  <si>
    <t>معدل العائد الداخلي والعوائد</t>
  </si>
  <si>
    <t>XI</t>
  </si>
  <si>
    <t>SENSITIVITY</t>
  </si>
  <si>
    <t>Sensitivity &amp; scenario heatmaps</t>
  </si>
  <si>
    <t>تحليل الحساسية</t>
  </si>
  <si>
    <t>XII</t>
  </si>
  <si>
    <t>BREAK_EVEN</t>
  </si>
  <si>
    <t>Break-even &amp; contribution analysis</t>
  </si>
  <si>
    <t>نقطة التعادل</t>
  </si>
  <si>
    <t>XIII</t>
  </si>
  <si>
    <t>CAP_TABLE</t>
  </si>
  <si>
    <t>Cap table &amp; equity waterfall</t>
  </si>
  <si>
    <t>جدول رأس المال</t>
  </si>
  <si>
    <t>XIV</t>
  </si>
  <si>
    <t>INVESTOR_DASHBOARD</t>
  </si>
  <si>
    <t>Premium KPI dashboard</t>
  </si>
  <si>
    <t>لوحة المستثمر</t>
  </si>
  <si>
    <t>XV</t>
  </si>
  <si>
    <t>INVESTOR_SUMMARY</t>
  </si>
  <si>
    <t>Printable investor summary sheet</t>
  </si>
  <si>
    <t>ملخص المستثمر القابل للطباعة</t>
  </si>
  <si>
    <r>
      <rPr>
        <b/>
        <sz val="13"/>
        <color rgb="FFC9A84C"/>
        <rFont val="Calibri"/>
        <charset val="1"/>
      </rPr>
      <t xml:space="preserve">  GLOBAL ASSUMPTIONS &amp; INPUTS  |  </t>
    </r>
    <r>
      <rPr>
        <b/>
        <sz val="13"/>
        <color rgb="FFC9A84C"/>
        <rFont val="FreeSans"/>
        <family val="2"/>
      </rPr>
      <t>الافتراضات والمدخلات العالمية</t>
    </r>
  </si>
  <si>
    <r>
      <rPr>
        <b/>
        <sz val="9"/>
        <color rgb="FF8A95A3"/>
        <rFont val="Calibri"/>
        <charset val="1"/>
      </rPr>
      <t xml:space="preserve">Assumption / </t>
    </r>
    <r>
      <rPr>
        <b/>
        <sz val="9"/>
        <color rgb="FF8A95A3"/>
        <rFont val="FreeSans"/>
        <family val="2"/>
      </rPr>
      <t>الافتراض</t>
    </r>
  </si>
  <si>
    <t>Base Case</t>
  </si>
  <si>
    <t>Bull Case</t>
  </si>
  <si>
    <t>Bear Case</t>
  </si>
  <si>
    <t>Selected</t>
  </si>
  <si>
    <r>
      <rPr>
        <b/>
        <sz val="9"/>
        <color rgb="FF8A95A3"/>
        <rFont val="Calibri"/>
        <charset val="1"/>
      </rPr>
      <t xml:space="preserve">Notes / </t>
    </r>
    <r>
      <rPr>
        <b/>
        <sz val="9"/>
        <color rgb="FF8A95A3"/>
        <rFont val="FreeSans"/>
        <family val="2"/>
      </rPr>
      <t>ملاحظات</t>
    </r>
  </si>
  <si>
    <r>
      <rPr>
        <b/>
        <sz val="10"/>
        <color rgb="FF0D1B2A"/>
        <rFont val="Calibri"/>
        <charset val="1"/>
      </rPr>
      <t xml:space="preserve">  ► SCENARIO SELECTOR  |  </t>
    </r>
    <r>
      <rPr>
        <b/>
        <sz val="10"/>
        <color rgb="FF0D1B2A"/>
        <rFont val="FreeSans"/>
        <family val="2"/>
      </rPr>
      <t>اختيار السيناريو</t>
    </r>
  </si>
  <si>
    <r>
      <rPr>
        <b/>
        <sz val="10"/>
        <color rgb="FF000000"/>
        <rFont val="Calibri"/>
        <charset val="1"/>
      </rPr>
      <t xml:space="preserve">Active Scenario | </t>
    </r>
    <r>
      <rPr>
        <b/>
        <sz val="10"/>
        <color rgb="FF000000"/>
        <rFont val="FreeSans"/>
        <family val="2"/>
      </rPr>
      <t>السيناريو النشط</t>
    </r>
  </si>
  <si>
    <r>
      <rPr>
        <i/>
        <sz val="9"/>
        <color rgb="FFFF8C00"/>
        <rFont val="Calibri"/>
        <charset val="1"/>
      </rPr>
      <t xml:space="preserve">← Change scenario here | </t>
    </r>
    <r>
      <rPr>
        <i/>
        <sz val="9"/>
        <color rgb="FFFF8C00"/>
        <rFont val="FreeSans"/>
        <family val="2"/>
      </rPr>
      <t>غيّر السيناريو هنا</t>
    </r>
  </si>
  <si>
    <r>
      <rPr>
        <b/>
        <sz val="10"/>
        <color rgb="FFC9A84C"/>
        <rFont val="Calibri"/>
        <charset val="1"/>
      </rPr>
      <t xml:space="preserve">  MACRO ASSUMPTIONS  |  </t>
    </r>
    <r>
      <rPr>
        <b/>
        <sz val="10"/>
        <color rgb="FFC9A84C"/>
        <rFont val="FreeSans"/>
        <family val="2"/>
      </rPr>
      <t>الافتراضات الكلية</t>
    </r>
  </si>
  <si>
    <r>
      <rPr>
        <sz val="10"/>
        <color rgb="FF000000"/>
        <rFont val="Calibri"/>
        <charset val="1"/>
      </rPr>
      <t xml:space="preserve">Exchange Rate (USD/LYD) | </t>
    </r>
    <r>
      <rPr>
        <sz val="10"/>
        <color rgb="FF000000"/>
        <rFont val="FreeSans"/>
        <family val="2"/>
      </rPr>
      <t>سعر الصرف</t>
    </r>
  </si>
  <si>
    <t>Source: CBL</t>
  </si>
  <si>
    <r>
      <rPr>
        <sz val="10"/>
        <color rgb="FF000000"/>
        <rFont val="Calibri"/>
        <charset val="1"/>
      </rPr>
      <t xml:space="preserve">Inflation Rate (Annual) | </t>
    </r>
    <r>
      <rPr>
        <sz val="10"/>
        <color rgb="FF000000"/>
        <rFont val="FreeSans"/>
        <family val="2"/>
      </rPr>
      <t>التضخم السنوي</t>
    </r>
  </si>
  <si>
    <t>Libya CPI estimate</t>
  </si>
  <si>
    <r>
      <rPr>
        <sz val="10"/>
        <color rgb="FF000000"/>
        <rFont val="Calibri"/>
        <charset val="1"/>
      </rPr>
      <t xml:space="preserve">Tax Rate | </t>
    </r>
    <r>
      <rPr>
        <sz val="10"/>
        <color rgb="FF000000"/>
        <rFont val="FreeSans"/>
        <family val="2"/>
      </rPr>
      <t>معدل الضريبة</t>
    </r>
  </si>
  <si>
    <t>Libyan tax law</t>
  </si>
  <si>
    <r>
      <rPr>
        <sz val="10"/>
        <color rgb="FF000000"/>
        <rFont val="Calibri"/>
        <charset val="1"/>
      </rPr>
      <t xml:space="preserve">WACC | </t>
    </r>
    <r>
      <rPr>
        <sz val="10"/>
        <color rgb="FF000000"/>
        <rFont val="FreeSans"/>
        <family val="2"/>
      </rPr>
      <t>تكلفة رأس المال المرجحة</t>
    </r>
  </si>
  <si>
    <t>Risk-adjusted discount rate</t>
  </si>
  <si>
    <r>
      <rPr>
        <sz val="10"/>
        <color rgb="FF000000"/>
        <rFont val="Calibri"/>
        <charset val="1"/>
      </rPr>
      <t xml:space="preserve">Terminal Growth Rate | </t>
    </r>
    <r>
      <rPr>
        <sz val="10"/>
        <color rgb="FF000000"/>
        <rFont val="FreeSans"/>
        <family val="2"/>
      </rPr>
      <t>معدل النمو النهائي</t>
    </r>
  </si>
  <si>
    <t>Conservative LT growth</t>
  </si>
  <si>
    <r>
      <rPr>
        <sz val="10"/>
        <color rgb="FF000000"/>
        <rFont val="Calibri"/>
        <charset val="1"/>
      </rPr>
      <t xml:space="preserve">Risk-Free Rate | </t>
    </r>
    <r>
      <rPr>
        <sz val="10"/>
        <color rgb="FF000000"/>
        <rFont val="FreeSans"/>
        <family val="2"/>
      </rPr>
      <t>المعدل الخالي من المخاطر</t>
    </r>
  </si>
  <si>
    <t>USD 10Y T-Bond</t>
  </si>
  <si>
    <r>
      <rPr>
        <sz val="10"/>
        <color rgb="FF000000"/>
        <rFont val="Calibri"/>
        <charset val="1"/>
      </rPr>
      <t xml:space="preserve">Country Risk Premium | </t>
    </r>
    <r>
      <rPr>
        <sz val="10"/>
        <color rgb="FF000000"/>
        <rFont val="FreeSans"/>
        <family val="2"/>
      </rPr>
      <t>علاوة مخاطر البلد</t>
    </r>
  </si>
  <si>
    <t>Libya sovereign risk</t>
  </si>
  <si>
    <r>
      <rPr>
        <b/>
        <sz val="10"/>
        <color rgb="FFC9A84C"/>
        <rFont val="Calibri"/>
        <charset val="1"/>
      </rPr>
      <t xml:space="preserve">  PRODUCTION ASSUMPTIONS  |  </t>
    </r>
    <r>
      <rPr>
        <b/>
        <sz val="10"/>
        <color rgb="FFC9A84C"/>
        <rFont val="FreeSans"/>
        <family val="2"/>
      </rPr>
      <t>افتراضات الإنتاج</t>
    </r>
  </si>
  <si>
    <r>
      <rPr>
        <sz val="10"/>
        <color rgb="FF000000"/>
        <rFont val="Calibri"/>
        <charset val="1"/>
      </rPr>
      <t xml:space="preserve">Initial Boats/Month (Type A) | </t>
    </r>
    <r>
      <rPr>
        <sz val="10"/>
        <color rgb="FF000000"/>
        <rFont val="FreeSans"/>
        <family val="2"/>
      </rPr>
      <t xml:space="preserve">قوارب الشهر </t>
    </r>
    <r>
      <rPr>
        <sz val="10"/>
        <color rgb="FF000000"/>
        <rFont val="Calibri"/>
        <charset val="1"/>
      </rPr>
      <t xml:space="preserve">- </t>
    </r>
    <r>
      <rPr>
        <sz val="10"/>
        <color rgb="FF000000"/>
        <rFont val="FreeSans"/>
        <family val="2"/>
      </rPr>
      <t>نوع أ</t>
    </r>
  </si>
  <si>
    <t>5m fishing boats</t>
  </si>
  <si>
    <r>
      <rPr>
        <sz val="10"/>
        <color rgb="FF000000"/>
        <rFont val="Calibri"/>
        <charset val="1"/>
      </rPr>
      <t xml:space="preserve">Initial Boats/Month (Type B) | </t>
    </r>
    <r>
      <rPr>
        <sz val="10"/>
        <color rgb="FF000000"/>
        <rFont val="FreeSans"/>
        <family val="2"/>
      </rPr>
      <t xml:space="preserve">قوارب الشهر </t>
    </r>
    <r>
      <rPr>
        <sz val="10"/>
        <color rgb="FF000000"/>
        <rFont val="Calibri"/>
        <charset val="1"/>
      </rPr>
      <t xml:space="preserve">- </t>
    </r>
    <r>
      <rPr>
        <sz val="10"/>
        <color rgb="FF000000"/>
        <rFont val="FreeSans"/>
        <family val="2"/>
      </rPr>
      <t>نوع ب</t>
    </r>
  </si>
  <si>
    <t>8m boats</t>
  </si>
  <si>
    <r>
      <rPr>
        <sz val="10"/>
        <color rgb="FF000000"/>
        <rFont val="Calibri"/>
        <charset val="1"/>
      </rPr>
      <t xml:space="preserve">Year-1 Total Capacity/Month | </t>
    </r>
    <r>
      <rPr>
        <sz val="10"/>
        <color rgb="FF000000"/>
        <rFont val="FreeSans"/>
        <family val="2"/>
      </rPr>
      <t xml:space="preserve">الطاقة الكلية شهر </t>
    </r>
    <r>
      <rPr>
        <sz val="10"/>
        <color rgb="FF000000"/>
        <rFont val="Calibri"/>
        <charset val="1"/>
      </rPr>
      <t>1</t>
    </r>
  </si>
  <si>
    <t>Sum A+B</t>
  </si>
  <si>
    <r>
      <rPr>
        <sz val="10"/>
        <color rgb="FF000000"/>
        <rFont val="Calibri"/>
        <charset val="1"/>
      </rPr>
      <t xml:space="preserve">Year-5 Target Capacity/Month | </t>
    </r>
    <r>
      <rPr>
        <sz val="10"/>
        <color rgb="FF000000"/>
        <rFont val="FreeSans"/>
        <family val="2"/>
      </rPr>
      <t xml:space="preserve">هدف الطاقة سنة </t>
    </r>
    <r>
      <rPr>
        <sz val="10"/>
        <color rgb="FF000000"/>
        <rFont val="Calibri"/>
        <charset val="1"/>
      </rPr>
      <t>5</t>
    </r>
  </si>
  <si>
    <t>Expansion target</t>
  </si>
  <si>
    <r>
      <rPr>
        <sz val="10"/>
        <color rgb="FF000000"/>
        <rFont val="Calibri"/>
        <charset val="1"/>
      </rPr>
      <t xml:space="preserve">Factory Utilization Y1 (%) | </t>
    </r>
    <r>
      <rPr>
        <sz val="10"/>
        <color rgb="FF000000"/>
        <rFont val="FreeSans"/>
        <family val="2"/>
      </rPr>
      <t>استغلال المصنع س</t>
    </r>
    <r>
      <rPr>
        <sz val="10"/>
        <color rgb="FF000000"/>
        <rFont val="Calibri"/>
        <charset val="1"/>
      </rPr>
      <t>1</t>
    </r>
  </si>
  <si>
    <t>% of capacity</t>
  </si>
  <si>
    <r>
      <rPr>
        <sz val="10"/>
        <color rgb="FF000000"/>
        <rFont val="Calibri"/>
        <charset val="1"/>
      </rPr>
      <t xml:space="preserve">Factory Utilization Y5 (%) | </t>
    </r>
    <r>
      <rPr>
        <sz val="10"/>
        <color rgb="FF000000"/>
        <rFont val="FreeSans"/>
        <family val="2"/>
      </rPr>
      <t>استغلال المصنع س</t>
    </r>
    <r>
      <rPr>
        <sz val="10"/>
        <color rgb="FF000000"/>
        <rFont val="Calibri"/>
        <charset val="1"/>
      </rPr>
      <t>5</t>
    </r>
  </si>
  <si>
    <r>
      <rPr>
        <sz val="10"/>
        <color rgb="FF000000"/>
        <rFont val="Calibri"/>
        <charset val="1"/>
      </rPr>
      <t xml:space="preserve">Annual Capacity Growth Rate | </t>
    </r>
    <r>
      <rPr>
        <sz val="10"/>
        <color rgb="FF000000"/>
        <rFont val="FreeSans"/>
        <family val="2"/>
      </rPr>
      <t>معدل نمو الطاقة السنوي</t>
    </r>
  </si>
  <si>
    <t>Ramp-up rate</t>
  </si>
  <si>
    <r>
      <rPr>
        <sz val="10"/>
        <color rgb="FF000000"/>
        <rFont val="Calibri"/>
        <charset val="1"/>
      </rPr>
      <t xml:space="preserve">Scrap/Waste Rate | </t>
    </r>
    <r>
      <rPr>
        <sz val="10"/>
        <color rgb="FF000000"/>
        <rFont val="FreeSans"/>
        <family val="2"/>
      </rPr>
      <t>نسبة الهدر</t>
    </r>
  </si>
  <si>
    <t>% of materials</t>
  </si>
  <si>
    <r>
      <rPr>
        <sz val="10"/>
        <color rgb="FF000000"/>
        <rFont val="Calibri"/>
        <charset val="1"/>
      </rPr>
      <t xml:space="preserve">Downtime Days/Month | </t>
    </r>
    <r>
      <rPr>
        <sz val="10"/>
        <color rgb="FF000000"/>
        <rFont val="FreeSans"/>
        <family val="2"/>
      </rPr>
      <t>أيام التوقف شهرياً</t>
    </r>
  </si>
  <si>
    <t>Maintenance + unplanned</t>
  </si>
  <si>
    <r>
      <rPr>
        <sz val="10"/>
        <color rgb="FF000000"/>
        <rFont val="Calibri"/>
        <charset val="1"/>
      </rPr>
      <t xml:space="preserve">Working Days/Month | </t>
    </r>
    <r>
      <rPr>
        <sz val="10"/>
        <color rgb="FF000000"/>
        <rFont val="FreeSans"/>
        <family val="2"/>
      </rPr>
      <t>أيام العمل شهرياً</t>
    </r>
  </si>
  <si>
    <r>
      <rPr>
        <b/>
        <sz val="10"/>
        <color rgb="FFC9A84C"/>
        <rFont val="Calibri"/>
        <charset val="1"/>
      </rPr>
      <t xml:space="preserve">  UNIT ECONOMICS  |  </t>
    </r>
    <r>
      <rPr>
        <b/>
        <sz val="10"/>
        <color rgb="FFC9A84C"/>
        <rFont val="FreeSans"/>
        <family val="2"/>
      </rPr>
      <t>اقتصاديات الوحدة</t>
    </r>
  </si>
  <si>
    <r>
      <rPr>
        <sz val="10"/>
        <color rgb="FF000000"/>
        <rFont val="Calibri"/>
        <charset val="1"/>
      </rPr>
      <t xml:space="preserve">Type A Selling Price (LYD) | </t>
    </r>
    <r>
      <rPr>
        <sz val="10"/>
        <color rgb="FF000000"/>
        <rFont val="FreeSans"/>
        <family val="2"/>
      </rPr>
      <t>سعر بيع النوع أ</t>
    </r>
  </si>
  <si>
    <t>5m fishing boat</t>
  </si>
  <si>
    <r>
      <rPr>
        <sz val="10"/>
        <color rgb="FF000000"/>
        <rFont val="Calibri"/>
        <charset val="1"/>
      </rPr>
      <t xml:space="preserve">Type A Unit Cost (LYD) | </t>
    </r>
    <r>
      <rPr>
        <sz val="10"/>
        <color rgb="FF000000"/>
        <rFont val="FreeSans"/>
        <family val="2"/>
      </rPr>
      <t>تكلفة وحدة النوع أ</t>
    </r>
  </si>
  <si>
    <r>
      <rPr>
        <sz val="10"/>
        <color rgb="FF000000"/>
        <rFont val="Calibri"/>
        <charset val="1"/>
      </rPr>
      <t xml:space="preserve">Type A Gross Margin | </t>
    </r>
    <r>
      <rPr>
        <sz val="10"/>
        <color rgb="FF000000"/>
        <rFont val="FreeSans"/>
        <family val="2"/>
      </rPr>
      <t xml:space="preserve">هامش الربح الإجمالي </t>
    </r>
    <r>
      <rPr>
        <sz val="10"/>
        <color rgb="FF000000"/>
        <rFont val="Calibri"/>
        <charset val="1"/>
      </rPr>
      <t xml:space="preserve">- </t>
    </r>
    <r>
      <rPr>
        <sz val="10"/>
        <color rgb="FF000000"/>
        <rFont val="FreeSans"/>
        <family val="2"/>
      </rPr>
      <t>أ</t>
    </r>
  </si>
  <si>
    <t>Calc: (Price-Cost)/Price</t>
  </si>
  <si>
    <r>
      <rPr>
        <sz val="10"/>
        <color rgb="FF000000"/>
        <rFont val="Calibri"/>
        <charset val="1"/>
      </rPr>
      <t xml:space="preserve">Type B Selling Price (LYD) | </t>
    </r>
    <r>
      <rPr>
        <sz val="10"/>
        <color rgb="FF000000"/>
        <rFont val="FreeSans"/>
        <family val="2"/>
      </rPr>
      <t>سعر بيع النوع ب</t>
    </r>
  </si>
  <si>
    <t>8m boat</t>
  </si>
  <si>
    <r>
      <rPr>
        <sz val="10"/>
        <color rgb="FF000000"/>
        <rFont val="Calibri"/>
        <charset val="1"/>
      </rPr>
      <t xml:space="preserve">Type B Unit Cost (LYD) | </t>
    </r>
    <r>
      <rPr>
        <sz val="10"/>
        <color rgb="FF000000"/>
        <rFont val="FreeSans"/>
        <family val="2"/>
      </rPr>
      <t>تكلفة وحدة النوع ب</t>
    </r>
  </si>
  <si>
    <r>
      <rPr>
        <sz val="10"/>
        <color rgb="FF000000"/>
        <rFont val="Calibri"/>
        <charset val="1"/>
      </rPr>
      <t xml:space="preserve">Type B Gross Margin | </t>
    </r>
    <r>
      <rPr>
        <sz val="10"/>
        <color rgb="FF000000"/>
        <rFont val="FreeSans"/>
        <family val="2"/>
      </rPr>
      <t xml:space="preserve">هامش الربح الإجمالي </t>
    </r>
    <r>
      <rPr>
        <sz val="10"/>
        <color rgb="FF000000"/>
        <rFont val="Calibri"/>
        <charset val="1"/>
      </rPr>
      <t xml:space="preserve">- </t>
    </r>
    <r>
      <rPr>
        <sz val="10"/>
        <color rgb="FF000000"/>
        <rFont val="FreeSans"/>
        <family val="2"/>
      </rPr>
      <t>ب</t>
    </r>
  </si>
  <si>
    <r>
      <rPr>
        <sz val="10"/>
        <color rgb="FF000000"/>
        <rFont val="Calibri"/>
        <charset val="1"/>
      </rPr>
      <t xml:space="preserve">Price Escalation/Year | </t>
    </r>
    <r>
      <rPr>
        <sz val="10"/>
        <color rgb="FF000000"/>
        <rFont val="FreeSans"/>
        <family val="2"/>
      </rPr>
      <t>تصعيد السعر السنوي</t>
    </r>
  </si>
  <si>
    <t>Annual price increase</t>
  </si>
  <si>
    <r>
      <rPr>
        <sz val="10"/>
        <color rgb="FF000000"/>
        <rFont val="Calibri"/>
        <charset val="1"/>
      </rPr>
      <t xml:space="preserve">Material Cost Escalation | </t>
    </r>
    <r>
      <rPr>
        <sz val="10"/>
        <color rgb="FF000000"/>
        <rFont val="FreeSans"/>
        <family val="2"/>
      </rPr>
      <t>تصعيد تكلفة المواد</t>
    </r>
  </si>
  <si>
    <t>Raw material inflation</t>
  </si>
  <si>
    <r>
      <rPr>
        <sz val="10"/>
        <color rgb="FF000000"/>
        <rFont val="Calibri"/>
        <charset val="1"/>
      </rPr>
      <t xml:space="preserve">Labor Cost Escalation/Year | </t>
    </r>
    <r>
      <rPr>
        <sz val="10"/>
        <color rgb="FF000000"/>
        <rFont val="FreeSans"/>
        <family val="2"/>
      </rPr>
      <t>تصعيد تكلفة العمالة</t>
    </r>
  </si>
  <si>
    <t>Salary escalation</t>
  </si>
  <si>
    <r>
      <rPr>
        <b/>
        <sz val="10"/>
        <color rgb="FFC9A84C"/>
        <rFont val="Calibri"/>
        <charset val="1"/>
      </rPr>
      <t xml:space="preserve">  CAPEX &amp; OPEX ASSUMPTIONS  |  </t>
    </r>
    <r>
      <rPr>
        <b/>
        <sz val="10"/>
        <color rgb="FFC9A84C"/>
        <rFont val="FreeSans"/>
        <family val="2"/>
      </rPr>
      <t>افتراضات النفقات الرأسمالية والتشغيلية</t>
    </r>
  </si>
  <si>
    <r>
      <rPr>
        <sz val="10"/>
        <color rgb="FF000000"/>
        <rFont val="Calibri"/>
        <charset val="1"/>
      </rPr>
      <t xml:space="preserve">Sirte Total CAPEX (LYD) | </t>
    </r>
    <r>
      <rPr>
        <sz val="10"/>
        <color rgb="FF000000"/>
        <rFont val="FreeSans"/>
        <family val="2"/>
      </rPr>
      <t xml:space="preserve">إجمالي الكابكس </t>
    </r>
    <r>
      <rPr>
        <sz val="10"/>
        <color rgb="FF000000"/>
        <rFont val="Calibri"/>
        <charset val="1"/>
      </rPr>
      <t xml:space="preserve">- </t>
    </r>
    <r>
      <rPr>
        <sz val="10"/>
        <color rgb="FF000000"/>
        <rFont val="FreeSans"/>
        <family val="2"/>
      </rPr>
      <t>سرت</t>
    </r>
  </si>
  <si>
    <r>
      <rPr>
        <sz val="10"/>
        <color rgb="FF000000"/>
        <rFont val="Calibri"/>
        <charset val="1"/>
      </rPr>
      <t xml:space="preserve">Benghazi Total CAPEX (LYD) | </t>
    </r>
    <r>
      <rPr>
        <sz val="10"/>
        <color rgb="FF000000"/>
        <rFont val="FreeSans"/>
        <family val="2"/>
      </rPr>
      <t xml:space="preserve">إجمالي الكابكس </t>
    </r>
    <r>
      <rPr>
        <sz val="10"/>
        <color rgb="FF000000"/>
        <rFont val="Calibri"/>
        <charset val="1"/>
      </rPr>
      <t xml:space="preserve">- </t>
    </r>
    <r>
      <rPr>
        <sz val="10"/>
        <color rgb="FF000000"/>
        <rFont val="FreeSans"/>
        <family val="2"/>
      </rPr>
      <t>بنغازي</t>
    </r>
  </si>
  <si>
    <r>
      <rPr>
        <sz val="10"/>
        <color rgb="FF000000"/>
        <rFont val="Calibri"/>
        <charset val="1"/>
      </rPr>
      <t xml:space="preserve">Active Scenario CAPEX | </t>
    </r>
    <r>
      <rPr>
        <sz val="10"/>
        <color rgb="FF000000"/>
        <rFont val="FreeSans"/>
        <family val="2"/>
      </rPr>
      <t>الكابكس النشط</t>
    </r>
  </si>
  <si>
    <t>Benghazi-first strategy</t>
  </si>
  <si>
    <r>
      <rPr>
        <sz val="10"/>
        <color rgb="FF000000"/>
        <rFont val="Calibri"/>
        <charset val="1"/>
      </rPr>
      <t xml:space="preserve">Monthly Fixed OpEx (LYD) | </t>
    </r>
    <r>
      <rPr>
        <sz val="10"/>
        <color rgb="FF000000"/>
        <rFont val="FreeSans"/>
        <family val="2"/>
      </rPr>
      <t>النفقات الثابتة الشهرية</t>
    </r>
  </si>
  <si>
    <t>Salaries + overhead</t>
  </si>
  <si>
    <r>
      <rPr>
        <sz val="10"/>
        <color rgb="FF000000"/>
        <rFont val="Calibri"/>
        <charset val="1"/>
      </rPr>
      <t xml:space="preserve">Monthly Variable OpEx/Unit (LYD) | </t>
    </r>
    <r>
      <rPr>
        <sz val="10"/>
        <color rgb="FF000000"/>
        <rFont val="FreeSans"/>
        <family val="2"/>
      </rPr>
      <t>نفقات متغيرة</t>
    </r>
    <r>
      <rPr>
        <sz val="10"/>
        <color rgb="FF000000"/>
        <rFont val="Calibri"/>
        <charset val="1"/>
      </rPr>
      <t>/</t>
    </r>
    <r>
      <rPr>
        <sz val="10"/>
        <color rgb="FF000000"/>
        <rFont val="FreeSans"/>
        <family val="2"/>
      </rPr>
      <t>وحدة</t>
    </r>
  </si>
  <si>
    <t>Per boat produced</t>
  </si>
  <si>
    <r>
      <rPr>
        <sz val="10"/>
        <color rgb="FF000000"/>
        <rFont val="Calibri"/>
        <charset val="1"/>
      </rPr>
      <t xml:space="preserve">Depreciation Life – Buildings (yrs) | </t>
    </r>
    <r>
      <rPr>
        <sz val="10"/>
        <color rgb="FF000000"/>
        <rFont val="FreeSans"/>
        <family val="2"/>
      </rPr>
      <t>عمر المباني</t>
    </r>
  </si>
  <si>
    <t>Straight-line</t>
  </si>
  <si>
    <r>
      <rPr>
        <sz val="10"/>
        <color rgb="FF000000"/>
        <rFont val="Calibri"/>
        <charset val="1"/>
      </rPr>
      <t xml:space="preserve">Depreciation Life – Machinery (yrs) | </t>
    </r>
    <r>
      <rPr>
        <sz val="10"/>
        <color rgb="FF000000"/>
        <rFont val="FreeSans"/>
        <family val="2"/>
      </rPr>
      <t>عمر الآلات</t>
    </r>
  </si>
  <si>
    <r>
      <rPr>
        <sz val="10"/>
        <color rgb="FF000000"/>
        <rFont val="Calibri"/>
        <charset val="1"/>
      </rPr>
      <t xml:space="preserve">Depreciation Life – Equipment (yrs) | </t>
    </r>
    <r>
      <rPr>
        <sz val="10"/>
        <color rgb="FF000000"/>
        <rFont val="FreeSans"/>
        <family val="2"/>
      </rPr>
      <t>عمر المعدات</t>
    </r>
  </si>
  <si>
    <r>
      <rPr>
        <sz val="10"/>
        <color rgb="FF000000"/>
        <rFont val="Calibri"/>
        <charset val="1"/>
      </rPr>
      <t xml:space="preserve">Depreciation Life – Molds (yrs) | </t>
    </r>
    <r>
      <rPr>
        <sz val="10"/>
        <color rgb="FF000000"/>
        <rFont val="FreeSans"/>
        <family val="2"/>
      </rPr>
      <t>عمر القوالب</t>
    </r>
  </si>
  <si>
    <r>
      <rPr>
        <sz val="10"/>
        <color rgb="FF000000"/>
        <rFont val="Calibri"/>
        <charset val="1"/>
      </rPr>
      <t xml:space="preserve">Accounts Receivable Days | </t>
    </r>
    <r>
      <rPr>
        <sz val="10"/>
        <color rgb="FF000000"/>
        <rFont val="FreeSans"/>
        <family val="2"/>
      </rPr>
      <t>أيام الذمم المدينة</t>
    </r>
  </si>
  <si>
    <r>
      <rPr>
        <sz val="10"/>
        <color rgb="FF000000"/>
        <rFont val="Calibri"/>
        <charset val="1"/>
      </rPr>
      <t xml:space="preserve">Inventory Days | </t>
    </r>
    <r>
      <rPr>
        <sz val="10"/>
        <color rgb="FF000000"/>
        <rFont val="FreeSans"/>
        <family val="2"/>
      </rPr>
      <t>أيام المخزون</t>
    </r>
  </si>
  <si>
    <r>
      <rPr>
        <sz val="10"/>
        <color rgb="FF000000"/>
        <rFont val="Calibri"/>
        <charset val="1"/>
      </rPr>
      <t xml:space="preserve">Accounts Payable Days | </t>
    </r>
    <r>
      <rPr>
        <sz val="10"/>
        <color rgb="FF000000"/>
        <rFont val="FreeSans"/>
        <family val="2"/>
      </rPr>
      <t>أيام الذمم الدائنة</t>
    </r>
  </si>
  <si>
    <r>
      <rPr>
        <b/>
        <sz val="10"/>
        <color rgb="FFC9A84C"/>
        <rFont val="Calibri"/>
        <charset val="1"/>
      </rPr>
      <t xml:space="preserve">  VALUATION &amp; INVESTOR ASSUMPTIONS  |  </t>
    </r>
    <r>
      <rPr>
        <b/>
        <sz val="10"/>
        <color rgb="FFC9A84C"/>
        <rFont val="FreeSans"/>
        <family val="2"/>
      </rPr>
      <t>افتراضات التقييم والمستثمر</t>
    </r>
  </si>
  <si>
    <r>
      <rPr>
        <sz val="10"/>
        <color rgb="FF000000"/>
        <rFont val="Calibri"/>
        <charset val="1"/>
      </rPr>
      <t xml:space="preserve">Investor Equity % | </t>
    </r>
    <r>
      <rPr>
        <sz val="10"/>
        <color rgb="FF000000"/>
        <rFont val="FreeSans"/>
        <family val="2"/>
      </rPr>
      <t>حصة المستثمر</t>
    </r>
  </si>
  <si>
    <t>Issued to investors</t>
  </si>
  <si>
    <r>
      <rPr>
        <sz val="10"/>
        <color rgb="FF000000"/>
        <rFont val="Calibri"/>
        <charset val="1"/>
      </rPr>
      <t xml:space="preserve">Exit Year | </t>
    </r>
    <r>
      <rPr>
        <sz val="10"/>
        <color rgb="FF000000"/>
        <rFont val="FreeSans"/>
        <family val="2"/>
      </rPr>
      <t>سنة الخروج</t>
    </r>
  </si>
  <si>
    <r>
      <rPr>
        <sz val="10"/>
        <color rgb="FF000000"/>
        <rFont val="Calibri"/>
        <charset val="1"/>
      </rPr>
      <t xml:space="preserve">EV/EBITDA Exit Multiple | </t>
    </r>
    <r>
      <rPr>
        <sz val="10"/>
        <color rgb="FF000000"/>
        <rFont val="FreeSans"/>
        <family val="2"/>
      </rPr>
      <t>مضاعف الخروج</t>
    </r>
  </si>
  <si>
    <t>Comparable transactions</t>
  </si>
  <si>
    <r>
      <rPr>
        <sz val="10"/>
        <color rgb="FF000000"/>
        <rFont val="Calibri"/>
        <charset val="1"/>
      </rPr>
      <t xml:space="preserve">EV/Revenue Exit Multiple | </t>
    </r>
    <r>
      <rPr>
        <sz val="10"/>
        <color rgb="FF000000"/>
        <rFont val="FreeSans"/>
        <family val="2"/>
      </rPr>
      <t>مضاعف الإيرادات</t>
    </r>
  </si>
  <si>
    <r>
      <rPr>
        <sz val="10"/>
        <color rgb="FF000000"/>
        <rFont val="Calibri"/>
        <charset val="1"/>
      </rPr>
      <t xml:space="preserve">Transaction Costs on Exit % | </t>
    </r>
    <r>
      <rPr>
        <sz val="10"/>
        <color rgb="FF000000"/>
        <rFont val="FreeSans"/>
        <family val="2"/>
      </rPr>
      <t>تكاليف الصفقة</t>
    </r>
  </si>
  <si>
    <t>% of EV</t>
  </si>
  <si>
    <r>
      <rPr>
        <sz val="10"/>
        <color rgb="FF000000"/>
        <rFont val="Calibri"/>
        <charset val="1"/>
      </rPr>
      <t xml:space="preserve">Founder Equity % | </t>
    </r>
    <r>
      <rPr>
        <sz val="10"/>
        <color rgb="FF000000"/>
        <rFont val="FreeSans"/>
        <family val="2"/>
      </rPr>
      <t>حصة المؤسس</t>
    </r>
  </si>
  <si>
    <r>
      <rPr>
        <b/>
        <sz val="9"/>
        <color rgb="FF0D1B2A"/>
        <rFont val="Calibri"/>
        <charset val="1"/>
      </rPr>
      <t xml:space="preserve">  COLOR LEGEND  |  </t>
    </r>
    <r>
      <rPr>
        <b/>
        <sz val="9"/>
        <color rgb="FF0D1B2A"/>
        <rFont val="FreeSans"/>
        <family val="2"/>
      </rPr>
      <t>دليل الألوان</t>
    </r>
  </si>
  <si>
    <r>
      <rPr>
        <sz val="9"/>
        <color rgb="FF0070C0"/>
        <rFont val="Calibri"/>
        <charset val="1"/>
      </rPr>
      <t xml:space="preserve">  Blue = Manual Input | </t>
    </r>
    <r>
      <rPr>
        <sz val="9"/>
        <color rgb="FF0070C0"/>
        <rFont val="FreeSans"/>
        <family val="2"/>
      </rPr>
      <t xml:space="preserve">أزرق </t>
    </r>
    <r>
      <rPr>
        <sz val="9"/>
        <color rgb="FF0070C0"/>
        <rFont val="Calibri"/>
        <charset val="1"/>
      </rPr>
      <t xml:space="preserve">= </t>
    </r>
    <r>
      <rPr>
        <sz val="9"/>
        <color rgb="FF0070C0"/>
        <rFont val="FreeSans"/>
        <family val="2"/>
      </rPr>
      <t>مدخل يدوي</t>
    </r>
  </si>
  <si>
    <r>
      <rPr>
        <sz val="9"/>
        <color rgb="FF000000"/>
        <rFont val="Calibri"/>
        <charset val="1"/>
      </rPr>
      <t xml:space="preserve">  Black = Formula | </t>
    </r>
    <r>
      <rPr>
        <sz val="9"/>
        <color rgb="FF000000"/>
        <rFont val="FreeSans"/>
        <family val="2"/>
      </rPr>
      <t xml:space="preserve">أسود </t>
    </r>
    <r>
      <rPr>
        <sz val="9"/>
        <color rgb="FF000000"/>
        <rFont val="Calibri"/>
        <charset val="1"/>
      </rPr>
      <t xml:space="preserve">= </t>
    </r>
    <r>
      <rPr>
        <sz val="9"/>
        <color rgb="FF000000"/>
        <rFont val="FreeSans"/>
        <family val="2"/>
      </rPr>
      <t>معادلة</t>
    </r>
  </si>
  <si>
    <r>
      <rPr>
        <sz val="9"/>
        <color rgb="FF00703C"/>
        <rFont val="Calibri"/>
        <charset val="1"/>
      </rPr>
      <t xml:space="preserve">  Green = Linked Output | </t>
    </r>
    <r>
      <rPr>
        <sz val="9"/>
        <color rgb="FF00703C"/>
        <rFont val="FreeSans"/>
        <family val="2"/>
      </rPr>
      <t xml:space="preserve">أخضر </t>
    </r>
    <r>
      <rPr>
        <sz val="9"/>
        <color rgb="FF00703C"/>
        <rFont val="Calibri"/>
        <charset val="1"/>
      </rPr>
      <t xml:space="preserve">= </t>
    </r>
    <r>
      <rPr>
        <sz val="9"/>
        <color rgb="FF00703C"/>
        <rFont val="FreeSans"/>
        <family val="2"/>
      </rPr>
      <t>مخرج مرتبط</t>
    </r>
  </si>
  <si>
    <r>
      <rPr>
        <sz val="9"/>
        <color rgb="FFFF8C00"/>
        <rFont val="Calibri"/>
        <charset val="1"/>
      </rPr>
      <t xml:space="preserve">  Amber = Scenario Selected | </t>
    </r>
    <r>
      <rPr>
        <sz val="9"/>
        <color rgb="FFFF8C00"/>
        <rFont val="FreeSans"/>
        <family val="2"/>
      </rPr>
      <t xml:space="preserve">عنبر </t>
    </r>
    <r>
      <rPr>
        <sz val="9"/>
        <color rgb="FFFF8C00"/>
        <rFont val="Calibri"/>
        <charset val="1"/>
      </rPr>
      <t xml:space="preserve">= </t>
    </r>
    <r>
      <rPr>
        <sz val="9"/>
        <color rgb="FFFF8C00"/>
        <rFont val="FreeSans"/>
        <family val="2"/>
      </rPr>
      <t>سيناريو محدد</t>
    </r>
  </si>
  <si>
    <r>
      <rPr>
        <sz val="9"/>
        <color rgb="FFC00000"/>
        <rFont val="Calibri"/>
        <charset val="1"/>
      </rPr>
      <t xml:space="preserve">  Red = Warning / Bear Case | </t>
    </r>
    <r>
      <rPr>
        <sz val="9"/>
        <color rgb="FFC00000"/>
        <rFont val="FreeSans"/>
        <family val="2"/>
      </rPr>
      <t xml:space="preserve">أحمر </t>
    </r>
    <r>
      <rPr>
        <sz val="9"/>
        <color rgb="FFC00000"/>
        <rFont val="Calibri"/>
        <charset val="1"/>
      </rPr>
      <t xml:space="preserve">= </t>
    </r>
    <r>
      <rPr>
        <sz val="9"/>
        <color rgb="FFC00000"/>
        <rFont val="FreeSans"/>
        <family val="2"/>
      </rPr>
      <t>تحذير</t>
    </r>
  </si>
  <si>
    <r>
      <rPr>
        <b/>
        <sz val="13"/>
        <color rgb="FFC9A84C"/>
        <rFont val="Calibri"/>
        <charset val="1"/>
      </rPr>
      <t xml:space="preserve">  CAPITAL EXPENDITURE SCHEDULE  |  </t>
    </r>
    <r>
      <rPr>
        <b/>
        <sz val="13"/>
        <color rgb="FFC9A84C"/>
        <rFont val="FreeSans"/>
        <family val="2"/>
      </rPr>
      <t>جدول النفقات الرأسمالية</t>
    </r>
  </si>
  <si>
    <r>
      <rPr>
        <b/>
        <sz val="10"/>
        <color rgb="FFFFFFFF"/>
        <rFont val="Calibri"/>
        <charset val="1"/>
      </rPr>
      <t xml:space="preserve">Item | </t>
    </r>
    <r>
      <rPr>
        <b/>
        <sz val="10"/>
        <color rgb="FFFFFFFF"/>
        <rFont val="FreeSans"/>
        <family val="2"/>
      </rPr>
      <t>البند</t>
    </r>
  </si>
  <si>
    <r>
      <rPr>
        <b/>
        <sz val="10"/>
        <color rgb="FFFFFFFF"/>
        <rFont val="Calibri"/>
        <charset val="1"/>
      </rPr>
      <t xml:space="preserve">Sirte Factory
</t>
    </r>
    <r>
      <rPr>
        <b/>
        <sz val="10"/>
        <color rgb="FFFFFFFF"/>
        <rFont val="FreeSans"/>
        <family val="2"/>
      </rPr>
      <t xml:space="preserve">سرت
</t>
    </r>
    <r>
      <rPr>
        <b/>
        <sz val="10"/>
        <color rgb="FFFFFFFF"/>
        <rFont val="Calibri"/>
        <charset val="1"/>
      </rPr>
      <t>(LYD)</t>
    </r>
  </si>
  <si>
    <r>
      <rPr>
        <b/>
        <sz val="10"/>
        <color rgb="FFFFFFFF"/>
        <rFont val="Calibri"/>
        <charset val="1"/>
      </rPr>
      <t xml:space="preserve">Benghazi Facility
</t>
    </r>
    <r>
      <rPr>
        <b/>
        <sz val="10"/>
        <color rgb="FFFFFFFF"/>
        <rFont val="FreeSans"/>
        <family val="2"/>
      </rPr>
      <t xml:space="preserve">بنغازي
</t>
    </r>
    <r>
      <rPr>
        <b/>
        <sz val="10"/>
        <color rgb="FFFFFFFF"/>
        <rFont val="Calibri"/>
        <charset val="1"/>
      </rPr>
      <t>(LYD)</t>
    </r>
  </si>
  <si>
    <r>
      <rPr>
        <b/>
        <sz val="10"/>
        <color rgb="FFFFFFFF"/>
        <rFont val="Calibri"/>
        <charset val="1"/>
      </rPr>
      <t xml:space="preserve">Active Scenario
</t>
    </r>
    <r>
      <rPr>
        <b/>
        <sz val="10"/>
        <color rgb="FFFFFFFF"/>
        <rFont val="FreeSans"/>
        <family val="2"/>
      </rPr>
      <t xml:space="preserve">السيناريو النشط
</t>
    </r>
    <r>
      <rPr>
        <b/>
        <sz val="10"/>
        <color rgb="FFFFFFFF"/>
        <rFont val="Calibri"/>
        <charset val="1"/>
      </rPr>
      <t>(LYD)</t>
    </r>
  </si>
  <si>
    <t>Notes</t>
  </si>
  <si>
    <r>
      <rPr>
        <b/>
        <sz val="10"/>
        <color rgb="FFF0D080"/>
        <rFont val="Calibri"/>
        <charset val="1"/>
      </rPr>
      <t xml:space="preserve">  CAPEX BREAKDOWN  |  </t>
    </r>
    <r>
      <rPr>
        <b/>
        <sz val="10"/>
        <color rgb="FFF0D080"/>
        <rFont val="FreeSans"/>
        <family val="2"/>
      </rPr>
      <t>تفاصيل النفقات الرأسمالية</t>
    </r>
  </si>
  <si>
    <r>
      <rPr>
        <sz val="10"/>
        <color rgb="FF000000"/>
        <rFont val="Calibri"/>
        <charset val="1"/>
      </rPr>
      <t xml:space="preserve">Land Purchase | </t>
    </r>
    <r>
      <rPr>
        <sz val="10"/>
        <color rgb="FF000000"/>
        <rFont val="FreeSans"/>
        <family val="2"/>
      </rPr>
      <t>شراء الأرض</t>
    </r>
  </si>
  <si>
    <r>
      <rPr>
        <sz val="10"/>
        <color rgb="FF000000"/>
        <rFont val="Calibri"/>
        <charset val="1"/>
      </rPr>
      <t xml:space="preserve">Hangar Construction | </t>
    </r>
    <r>
      <rPr>
        <sz val="10"/>
        <color rgb="FF000000"/>
        <rFont val="FreeSans"/>
        <family val="2"/>
      </rPr>
      <t>بناء العنبر</t>
    </r>
  </si>
  <si>
    <r>
      <rPr>
        <sz val="10"/>
        <color rgb="FF000000"/>
        <rFont val="Calibri"/>
        <charset val="1"/>
      </rPr>
      <t xml:space="preserve">Infrastructure Works | </t>
    </r>
    <r>
      <rPr>
        <sz val="10"/>
        <color rgb="FF000000"/>
        <rFont val="FreeSans"/>
        <family val="2"/>
      </rPr>
      <t>أعمال البنية التحتية</t>
    </r>
  </si>
  <si>
    <r>
      <rPr>
        <sz val="10"/>
        <color rgb="FF000000"/>
        <rFont val="Calibri"/>
        <charset val="1"/>
      </rPr>
      <t xml:space="preserve">Worker Housing | </t>
    </r>
    <r>
      <rPr>
        <sz val="10"/>
        <color rgb="FF000000"/>
        <rFont val="FreeSans"/>
        <family val="2"/>
      </rPr>
      <t>سكن العمال</t>
    </r>
  </si>
  <si>
    <r>
      <rPr>
        <sz val="10"/>
        <color rgb="FF000000"/>
        <rFont val="Calibri"/>
        <charset val="1"/>
      </rPr>
      <t xml:space="preserve">Production Molds (2 sizes) | </t>
    </r>
    <r>
      <rPr>
        <sz val="10"/>
        <color rgb="FF000000"/>
        <rFont val="FreeSans"/>
        <family val="2"/>
      </rPr>
      <t>القوالب</t>
    </r>
  </si>
  <si>
    <r>
      <rPr>
        <sz val="10"/>
        <color rgb="FF000000"/>
        <rFont val="Calibri"/>
        <charset val="1"/>
      </rPr>
      <t xml:space="preserve">Fiberglass Machinery | </t>
    </r>
    <r>
      <rPr>
        <sz val="10"/>
        <color rgb="FF000000"/>
        <rFont val="FreeSans"/>
        <family val="2"/>
      </rPr>
      <t>آلات الفيبرغلاس</t>
    </r>
  </si>
  <si>
    <r>
      <rPr>
        <sz val="10"/>
        <color rgb="FF000000"/>
        <rFont val="Calibri"/>
        <charset val="1"/>
      </rPr>
      <t xml:space="preserve">Workshop Equipment | </t>
    </r>
    <r>
      <rPr>
        <sz val="10"/>
        <color rgb="FF000000"/>
        <rFont val="FreeSans"/>
        <family val="2"/>
      </rPr>
      <t>معدات الورشة</t>
    </r>
  </si>
  <si>
    <r>
      <rPr>
        <sz val="10"/>
        <color rgb="FF000000"/>
        <rFont val="Calibri"/>
        <charset val="1"/>
      </rPr>
      <t xml:space="preserve">Vehicles &amp; Transport | </t>
    </r>
    <r>
      <rPr>
        <sz val="10"/>
        <color rgb="FF000000"/>
        <rFont val="FreeSans"/>
        <family val="2"/>
      </rPr>
      <t>المركبات</t>
    </r>
  </si>
  <si>
    <r>
      <rPr>
        <sz val="10"/>
        <color rgb="FF000000"/>
        <rFont val="Calibri"/>
        <charset val="1"/>
      </rPr>
      <t xml:space="preserve">Electrical &amp; Utilities | </t>
    </r>
    <r>
      <rPr>
        <sz val="10"/>
        <color rgb="FF000000"/>
        <rFont val="FreeSans"/>
        <family val="2"/>
      </rPr>
      <t>الكهرباء والمرافق</t>
    </r>
  </si>
  <si>
    <r>
      <rPr>
        <sz val="10"/>
        <color rgb="FF000000"/>
        <rFont val="Calibri"/>
        <charset val="1"/>
      </rPr>
      <t xml:space="preserve">IT &amp; Office Setup | </t>
    </r>
    <r>
      <rPr>
        <sz val="10"/>
        <color rgb="FF000000"/>
        <rFont val="FreeSans"/>
        <family val="2"/>
      </rPr>
      <t>تقنية المعلومات والمكتب</t>
    </r>
  </si>
  <si>
    <r>
      <rPr>
        <sz val="10"/>
        <color rgb="FF000000"/>
        <rFont val="Calibri"/>
        <charset val="1"/>
      </rPr>
      <t xml:space="preserve">Contingency Reserve (5%) | </t>
    </r>
    <r>
      <rPr>
        <sz val="10"/>
        <color rgb="FF000000"/>
        <rFont val="FreeSans"/>
        <family val="2"/>
      </rPr>
      <t>احتياطي طوارئ</t>
    </r>
  </si>
  <si>
    <r>
      <rPr>
        <sz val="10"/>
        <color rgb="FF000000"/>
        <rFont val="Calibri"/>
        <charset val="1"/>
      </rPr>
      <t xml:space="preserve">Working Capital Reserve | </t>
    </r>
    <r>
      <rPr>
        <sz val="10"/>
        <color rgb="FF000000"/>
        <rFont val="FreeSans"/>
        <family val="2"/>
      </rPr>
      <t>احتياطي رأس المال العامل</t>
    </r>
  </si>
  <si>
    <r>
      <rPr>
        <sz val="10"/>
        <color rgb="FF000000"/>
        <rFont val="Calibri"/>
        <charset val="1"/>
      </rPr>
      <t xml:space="preserve">Raw Materials Initial Stock | </t>
    </r>
    <r>
      <rPr>
        <sz val="10"/>
        <color rgb="FF000000"/>
        <rFont val="FreeSans"/>
        <family val="2"/>
      </rPr>
      <t>مخزون المواد الأولية</t>
    </r>
  </si>
  <si>
    <r>
      <rPr>
        <sz val="10"/>
        <color rgb="FF000000"/>
        <rFont val="Calibri"/>
        <charset val="1"/>
      </rPr>
      <t xml:space="preserve">Rent Deposit (12 mo) | </t>
    </r>
    <r>
      <rPr>
        <sz val="10"/>
        <color rgb="FF000000"/>
        <rFont val="FreeSans"/>
        <family val="2"/>
      </rPr>
      <t>وديعة الإيجار</t>
    </r>
  </si>
  <si>
    <r>
      <rPr>
        <sz val="10"/>
        <color rgb="FF000000"/>
        <rFont val="Calibri"/>
        <charset val="1"/>
      </rPr>
      <t xml:space="preserve">Permits &amp; Legal | </t>
    </r>
    <r>
      <rPr>
        <sz val="10"/>
        <color rgb="FF000000"/>
        <rFont val="FreeSans"/>
        <family val="2"/>
      </rPr>
      <t>التصاريح والقانونية</t>
    </r>
  </si>
  <si>
    <r>
      <rPr>
        <sz val="10"/>
        <color rgb="FF000000"/>
        <rFont val="Calibri"/>
        <charset val="1"/>
      </rPr>
      <t xml:space="preserve">Soft Launch / Marketing | </t>
    </r>
    <r>
      <rPr>
        <sz val="10"/>
        <color rgb="FF000000"/>
        <rFont val="FreeSans"/>
        <family val="2"/>
      </rPr>
      <t>إطلاق وتسويق</t>
    </r>
  </si>
  <si>
    <r>
      <rPr>
        <sz val="10"/>
        <color rgb="FF000000"/>
        <rFont val="Calibri"/>
        <charset val="1"/>
      </rPr>
      <t xml:space="preserve">Pre-Opening Salaries | </t>
    </r>
    <r>
      <rPr>
        <sz val="10"/>
        <color rgb="FF000000"/>
        <rFont val="FreeSans"/>
        <family val="2"/>
      </rPr>
      <t>رواتب ما قبل الافتتاح</t>
    </r>
  </si>
  <si>
    <r>
      <rPr>
        <sz val="10"/>
        <color rgb="FF000000"/>
        <rFont val="Calibri"/>
        <charset val="1"/>
      </rPr>
      <t xml:space="preserve">Miscellaneous | </t>
    </r>
    <r>
      <rPr>
        <sz val="10"/>
        <color rgb="FF000000"/>
        <rFont val="FreeSans"/>
        <family val="2"/>
      </rPr>
      <t>متنوعات</t>
    </r>
  </si>
  <si>
    <r>
      <rPr>
        <b/>
        <sz val="10"/>
        <color rgb="FFC9A84C"/>
        <rFont val="Calibri"/>
        <charset val="1"/>
      </rPr>
      <t xml:space="preserve">TOTAL CAPEX | </t>
    </r>
    <r>
      <rPr>
        <b/>
        <sz val="10"/>
        <color rgb="FFC9A84C"/>
        <rFont val="FreeSans"/>
        <family val="2"/>
      </rPr>
      <t>إجمالي الكابكس</t>
    </r>
  </si>
  <si>
    <r>
      <rPr>
        <b/>
        <sz val="10"/>
        <color rgb="FFC9A84C"/>
        <rFont val="Calibri"/>
        <charset val="1"/>
      </rPr>
      <t xml:space="preserve">  DEPRECIATION SCHEDULE  |  </t>
    </r>
    <r>
      <rPr>
        <b/>
        <sz val="10"/>
        <color rgb="FFC9A84C"/>
        <rFont val="FreeSans"/>
        <family val="2"/>
      </rPr>
      <t>جدول الاستهلاك</t>
    </r>
  </si>
  <si>
    <t>Asset Category</t>
  </si>
  <si>
    <t>Sirte Value</t>
  </si>
  <si>
    <t>Benghazi Value</t>
  </si>
  <si>
    <t>Useful Life (yrs)</t>
  </si>
  <si>
    <t>Annual Depreciation</t>
  </si>
  <si>
    <t>Monthly Depreciation</t>
  </si>
  <si>
    <r>
      <rPr>
        <sz val="10"/>
        <color rgb="FF000000"/>
        <rFont val="Calibri"/>
        <charset val="1"/>
      </rPr>
      <t xml:space="preserve">Buildings &amp; Hangar | </t>
    </r>
    <r>
      <rPr>
        <sz val="10"/>
        <color rgb="FF000000"/>
        <rFont val="FreeSans"/>
        <family val="2"/>
      </rPr>
      <t>المباني والعنبر</t>
    </r>
  </si>
  <si>
    <r>
      <rPr>
        <sz val="10"/>
        <color rgb="FF000000"/>
        <rFont val="Calibri"/>
        <charset val="1"/>
      </rPr>
      <t xml:space="preserve">Infrastructure | </t>
    </r>
    <r>
      <rPr>
        <sz val="10"/>
        <color rgb="FF000000"/>
        <rFont val="FreeSans"/>
        <family val="2"/>
      </rPr>
      <t>البنية التحتية</t>
    </r>
  </si>
  <si>
    <r>
      <rPr>
        <sz val="10"/>
        <color rgb="FF000000"/>
        <rFont val="Calibri"/>
        <charset val="1"/>
      </rPr>
      <t xml:space="preserve">Machinery | </t>
    </r>
    <r>
      <rPr>
        <sz val="10"/>
        <color rgb="FF000000"/>
        <rFont val="FreeSans"/>
        <family val="2"/>
      </rPr>
      <t>الآلات</t>
    </r>
  </si>
  <si>
    <r>
      <rPr>
        <sz val="10"/>
        <color rgb="FF000000"/>
        <rFont val="Calibri"/>
        <charset val="1"/>
      </rPr>
      <t xml:space="preserve">Production Molds | </t>
    </r>
    <r>
      <rPr>
        <sz val="10"/>
        <color rgb="FF000000"/>
        <rFont val="FreeSans"/>
        <family val="2"/>
      </rPr>
      <t>القوالب</t>
    </r>
  </si>
  <si>
    <r>
      <rPr>
        <sz val="10"/>
        <color rgb="FF000000"/>
        <rFont val="Calibri"/>
        <charset val="1"/>
      </rPr>
      <t xml:space="preserve">Vehicles | </t>
    </r>
    <r>
      <rPr>
        <sz val="10"/>
        <color rgb="FF000000"/>
        <rFont val="FreeSans"/>
        <family val="2"/>
      </rPr>
      <t>المركبات</t>
    </r>
  </si>
  <si>
    <r>
      <rPr>
        <sz val="10"/>
        <color rgb="FF000000"/>
        <rFont val="Calibri"/>
        <charset val="1"/>
      </rPr>
      <t xml:space="preserve">IT &amp; Office | </t>
    </r>
    <r>
      <rPr>
        <sz val="10"/>
        <color rgb="FF000000"/>
        <rFont val="FreeSans"/>
        <family val="2"/>
      </rPr>
      <t>المكتب وتقنية المعلومات</t>
    </r>
  </si>
  <si>
    <r>
      <rPr>
        <b/>
        <sz val="10"/>
        <color rgb="FFC9A84C"/>
        <rFont val="Calibri"/>
        <charset val="1"/>
      </rPr>
      <t xml:space="preserve">TOTAL ANNUAL DEPRECIATION | </t>
    </r>
    <r>
      <rPr>
        <b/>
        <sz val="10"/>
        <color rgb="FFC9A84C"/>
        <rFont val="FreeSans"/>
        <family val="2"/>
      </rPr>
      <t>إجمالي الاستهلاك السنوي</t>
    </r>
  </si>
  <si>
    <r>
      <rPr>
        <b/>
        <sz val="13"/>
        <color rgb="FFC9A84C"/>
        <rFont val="Calibri"/>
        <charset val="1"/>
      </rPr>
      <t xml:space="preserve">  REVENUE FORECAST MODEL  |  </t>
    </r>
    <r>
      <rPr>
        <b/>
        <sz val="13"/>
        <color rgb="FFC9A84C"/>
        <rFont val="FreeSans"/>
        <family val="2"/>
      </rPr>
      <t>نموذج توقعات الإيرادات</t>
    </r>
  </si>
  <si>
    <r>
      <rPr>
        <b/>
        <sz val="10"/>
        <color rgb="FFFFFFFF"/>
        <rFont val="Calibri"/>
        <charset val="1"/>
      </rPr>
      <t xml:space="preserve">Revenue Line | </t>
    </r>
    <r>
      <rPr>
        <b/>
        <sz val="10"/>
        <color rgb="FFFFFFFF"/>
        <rFont val="FreeSans"/>
        <family val="2"/>
      </rPr>
      <t>بند الإيرادات</t>
    </r>
  </si>
  <si>
    <t>Jan
Y1</t>
  </si>
  <si>
    <t>Feb
Y1</t>
  </si>
  <si>
    <t>Mar
Y1</t>
  </si>
  <si>
    <t>Apr
Y1</t>
  </si>
  <si>
    <t>May
Y1</t>
  </si>
  <si>
    <t>Jun
Y1</t>
  </si>
  <si>
    <t>Jul
Y1</t>
  </si>
  <si>
    <t>Aug
Y1</t>
  </si>
  <si>
    <t>Sep
Y1</t>
  </si>
  <si>
    <t>Oct
Y1</t>
  </si>
  <si>
    <t>Nov
Y1</t>
  </si>
  <si>
    <t>Dec
Y1</t>
  </si>
  <si>
    <t>Jan
Y2</t>
  </si>
  <si>
    <t>Feb
Y2</t>
  </si>
  <si>
    <t>Mar
Y2</t>
  </si>
  <si>
    <t>Apr
Y2</t>
  </si>
  <si>
    <t>May
Y2</t>
  </si>
  <si>
    <t>Jun
Y2</t>
  </si>
  <si>
    <t>Jul
Y2</t>
  </si>
  <si>
    <t>Aug
Y2</t>
  </si>
  <si>
    <t>Sep
Y2</t>
  </si>
  <si>
    <t>Oct
Y2</t>
  </si>
  <si>
    <t>Nov
Y2</t>
  </si>
  <si>
    <t>Dec
Y2</t>
  </si>
  <si>
    <t>Jan
Y3</t>
  </si>
  <si>
    <t>Feb
Y3</t>
  </si>
  <si>
    <t>Mar
Y3</t>
  </si>
  <si>
    <t>Apr
Y3</t>
  </si>
  <si>
    <t>May
Y3</t>
  </si>
  <si>
    <t>Jun
Y3</t>
  </si>
  <si>
    <t>Jul
Y3</t>
  </si>
  <si>
    <t>Aug
Y3</t>
  </si>
  <si>
    <t>Sep
Y3</t>
  </si>
  <si>
    <t>Oct
Y3</t>
  </si>
  <si>
    <t>Nov
Y3</t>
  </si>
  <si>
    <t>Dec
Y3</t>
  </si>
  <si>
    <t>Year 4
Annual</t>
  </si>
  <si>
    <t>Year 5
Annual</t>
  </si>
  <si>
    <t>TYPE A: 5m Fishing Boats</t>
  </si>
  <si>
    <r>
      <rPr>
        <sz val="10"/>
        <color rgb="FF000000"/>
        <rFont val="Calibri"/>
        <charset val="1"/>
      </rPr>
      <t xml:space="preserve">  Units Sold – Type A | </t>
    </r>
    <r>
      <rPr>
        <sz val="10"/>
        <color rgb="FF000000"/>
        <rFont val="FreeSans"/>
        <family val="2"/>
      </rPr>
      <t>وحدات مباعة أ</t>
    </r>
  </si>
  <si>
    <r>
      <rPr>
        <sz val="10"/>
        <color rgb="FF000000"/>
        <rFont val="Calibri"/>
        <charset val="1"/>
      </rPr>
      <t xml:space="preserve">  Price per Unit (LYD) – Type A | </t>
    </r>
    <r>
      <rPr>
        <sz val="10"/>
        <color rgb="FF000000"/>
        <rFont val="FreeSans"/>
        <family val="2"/>
      </rPr>
      <t>السعر</t>
    </r>
  </si>
  <si>
    <r>
      <rPr>
        <sz val="10"/>
        <color rgb="FF000000"/>
        <rFont val="Calibri"/>
        <charset val="1"/>
      </rPr>
      <t xml:space="preserve">  Revenue – Type A (LYD) | </t>
    </r>
    <r>
      <rPr>
        <sz val="10"/>
        <color rgb="FF000000"/>
        <rFont val="FreeSans"/>
        <family val="2"/>
      </rPr>
      <t>إيرادات أ</t>
    </r>
  </si>
  <si>
    <t>TYPE B: 8m Boats</t>
  </si>
  <si>
    <r>
      <rPr>
        <sz val="10"/>
        <color rgb="FF000000"/>
        <rFont val="Calibri"/>
        <charset val="1"/>
      </rPr>
      <t xml:space="preserve">  Units Sold – Type B | </t>
    </r>
    <r>
      <rPr>
        <sz val="10"/>
        <color rgb="FF000000"/>
        <rFont val="FreeSans"/>
        <family val="2"/>
      </rPr>
      <t>وحدات مباعة ب</t>
    </r>
  </si>
  <si>
    <r>
      <rPr>
        <sz val="10"/>
        <color rgb="FF000000"/>
        <rFont val="Calibri"/>
        <charset val="1"/>
      </rPr>
      <t xml:space="preserve">  Price per Unit (LYD) – Type B | </t>
    </r>
    <r>
      <rPr>
        <sz val="10"/>
        <color rgb="FF000000"/>
        <rFont val="FreeSans"/>
        <family val="2"/>
      </rPr>
      <t>السعر</t>
    </r>
  </si>
  <si>
    <r>
      <rPr>
        <sz val="10"/>
        <color rgb="FF000000"/>
        <rFont val="Calibri"/>
        <charset val="1"/>
      </rPr>
      <t xml:space="preserve">  Revenue – Type B (LYD) | </t>
    </r>
    <r>
      <rPr>
        <sz val="10"/>
        <color rgb="FF000000"/>
        <rFont val="FreeSans"/>
        <family val="2"/>
      </rPr>
      <t>إيرادات ب</t>
    </r>
  </si>
  <si>
    <r>
      <rPr>
        <sz val="10"/>
        <color rgb="FF000000"/>
        <rFont val="Calibri"/>
        <charset val="1"/>
      </rPr>
      <t xml:space="preserve">SERVICES REVENUE | </t>
    </r>
    <r>
      <rPr>
        <sz val="10"/>
        <color rgb="FF000000"/>
        <rFont val="FreeSans"/>
        <family val="2"/>
      </rPr>
      <t>إيرادات الخدمات</t>
    </r>
  </si>
  <si>
    <r>
      <rPr>
        <b/>
        <sz val="10"/>
        <color rgb="FFFFFFFF"/>
        <rFont val="Calibri"/>
        <charset val="1"/>
      </rPr>
      <t xml:space="preserve">─── TOTAL REVENUE | </t>
    </r>
    <r>
      <rPr>
        <b/>
        <sz val="10"/>
        <color rgb="FFFFFFFF"/>
        <rFont val="FreeSans"/>
        <family val="2"/>
      </rPr>
      <t>إجمالي الإيرادات ───</t>
    </r>
  </si>
  <si>
    <r>
      <rPr>
        <sz val="10"/>
        <color rgb="FF000000"/>
        <rFont val="Calibri"/>
        <charset val="1"/>
      </rPr>
      <t xml:space="preserve">COGS – Type A | </t>
    </r>
    <r>
      <rPr>
        <sz val="10"/>
        <color rgb="FF000000"/>
        <rFont val="FreeSans"/>
        <family val="2"/>
      </rPr>
      <t>تكلفة البضاعة المباعة أ</t>
    </r>
  </si>
  <si>
    <r>
      <rPr>
        <sz val="10"/>
        <color rgb="FF000000"/>
        <rFont val="Calibri"/>
        <charset val="1"/>
      </rPr>
      <t xml:space="preserve">COGS – Type B | </t>
    </r>
    <r>
      <rPr>
        <sz val="10"/>
        <color rgb="FF000000"/>
        <rFont val="FreeSans"/>
        <family val="2"/>
      </rPr>
      <t>تكلفة البضاعة المباعة ب</t>
    </r>
  </si>
  <si>
    <r>
      <rPr>
        <b/>
        <sz val="10"/>
        <color rgb="FFFFFFFF"/>
        <rFont val="Calibri"/>
        <charset val="1"/>
      </rPr>
      <t xml:space="preserve">Total COGS | </t>
    </r>
    <r>
      <rPr>
        <b/>
        <sz val="10"/>
        <color rgb="FFFFFFFF"/>
        <rFont val="FreeSans"/>
        <family val="2"/>
      </rPr>
      <t>إجمالي التكاليف</t>
    </r>
  </si>
  <si>
    <r>
      <rPr>
        <b/>
        <sz val="10"/>
        <color rgb="FFFFFFFF"/>
        <rFont val="Calibri"/>
        <charset val="1"/>
      </rPr>
      <t xml:space="preserve">GROSS PROFIT | </t>
    </r>
    <r>
      <rPr>
        <b/>
        <sz val="10"/>
        <color rgb="FFFFFFFF"/>
        <rFont val="FreeSans"/>
        <family val="2"/>
      </rPr>
      <t>الربح الإجمالي</t>
    </r>
  </si>
  <si>
    <r>
      <rPr>
        <sz val="10"/>
        <color rgb="FF000000"/>
        <rFont val="Calibri"/>
        <charset val="1"/>
      </rPr>
      <t xml:space="preserve">Gross Margin % | </t>
    </r>
    <r>
      <rPr>
        <sz val="10"/>
        <color rgb="FF000000"/>
        <rFont val="FreeSans"/>
        <family val="2"/>
      </rPr>
      <t>هامش الربح الإجمالي</t>
    </r>
  </si>
  <si>
    <r>
      <rPr>
        <b/>
        <sz val="13"/>
        <color rgb="FFC9A84C"/>
        <rFont val="Calibri"/>
        <charset val="1"/>
      </rPr>
      <t xml:space="preserve">  INCOME STATEMENT (P&amp;L)  |  </t>
    </r>
    <r>
      <rPr>
        <b/>
        <sz val="13"/>
        <color rgb="FFC9A84C"/>
        <rFont val="FreeSans"/>
        <family val="2"/>
      </rPr>
      <t>قائمة الدخل</t>
    </r>
  </si>
  <si>
    <r>
      <rPr>
        <b/>
        <sz val="10"/>
        <color rgb="FFFFFFFF"/>
        <rFont val="Calibri"/>
        <charset val="1"/>
      </rPr>
      <t xml:space="preserve">P&amp;L Line Item | </t>
    </r>
    <r>
      <rPr>
        <b/>
        <sz val="10"/>
        <color rgb="FFFFFFFF"/>
        <rFont val="FreeSans"/>
        <family val="2"/>
      </rPr>
      <t>بند قائمة الدخل</t>
    </r>
  </si>
  <si>
    <r>
      <rPr>
        <b/>
        <sz val="10"/>
        <color rgb="FFC9A84C"/>
        <rFont val="Calibri"/>
        <charset val="1"/>
      </rPr>
      <t xml:space="preserve">REVENUE | </t>
    </r>
    <r>
      <rPr>
        <b/>
        <sz val="10"/>
        <color rgb="FFC9A84C"/>
        <rFont val="FreeSans"/>
        <family val="2"/>
      </rPr>
      <t>الإيرادات</t>
    </r>
  </si>
  <si>
    <r>
      <rPr>
        <sz val="10"/>
        <color rgb="FF000000"/>
        <rFont val="Calibri"/>
        <charset val="1"/>
      </rPr>
      <t xml:space="preserve">  Net Revenue (LYD) | </t>
    </r>
    <r>
      <rPr>
        <sz val="10"/>
        <color rgb="FF000000"/>
        <rFont val="FreeSans"/>
        <family val="2"/>
      </rPr>
      <t>صافي الإيرادات</t>
    </r>
  </si>
  <si>
    <r>
      <rPr>
        <b/>
        <sz val="10"/>
        <color rgb="FFC9A84C"/>
        <rFont val="Calibri"/>
        <charset val="1"/>
      </rPr>
      <t xml:space="preserve">COST OF GOODS SOLD | </t>
    </r>
    <r>
      <rPr>
        <b/>
        <sz val="10"/>
        <color rgb="FFC9A84C"/>
        <rFont val="FreeSans"/>
        <family val="2"/>
      </rPr>
      <t>تكلفة البضاعة المباعة</t>
    </r>
  </si>
  <si>
    <r>
      <rPr>
        <sz val="10"/>
        <color rgb="FF000000"/>
        <rFont val="Calibri"/>
        <charset val="1"/>
      </rPr>
      <t xml:space="preserve">  Direct Materials | </t>
    </r>
    <r>
      <rPr>
        <sz val="10"/>
        <color rgb="FF000000"/>
        <rFont val="FreeSans"/>
        <family val="2"/>
      </rPr>
      <t>المواد المباشرة</t>
    </r>
  </si>
  <si>
    <r>
      <rPr>
        <sz val="10"/>
        <color rgb="FF000000"/>
        <rFont val="Calibri"/>
        <charset val="1"/>
      </rPr>
      <t xml:space="preserve">  Direct Labor | </t>
    </r>
    <r>
      <rPr>
        <sz val="10"/>
        <color rgb="FF000000"/>
        <rFont val="FreeSans"/>
        <family val="2"/>
      </rPr>
      <t>العمالة المباشرة</t>
    </r>
  </si>
  <si>
    <r>
      <rPr>
        <sz val="10"/>
        <color rgb="FF000000"/>
        <rFont val="Calibri"/>
        <charset val="1"/>
      </rPr>
      <t xml:space="preserve">  Manufacturing Overhead | </t>
    </r>
    <r>
      <rPr>
        <sz val="10"/>
        <color rgb="FF000000"/>
        <rFont val="FreeSans"/>
        <family val="2"/>
      </rPr>
      <t>المصاريف العامة للتصنيع</t>
    </r>
  </si>
  <si>
    <r>
      <rPr>
        <b/>
        <sz val="10"/>
        <color rgb="FFFFFFFF"/>
        <rFont val="Calibri"/>
        <charset val="1"/>
      </rPr>
      <t xml:space="preserve">  Total COGS | </t>
    </r>
    <r>
      <rPr>
        <b/>
        <sz val="10"/>
        <color rgb="FFFFFFFF"/>
        <rFont val="FreeSans"/>
        <family val="2"/>
      </rPr>
      <t>إجمالي تكلفة البضاعة المباعة</t>
    </r>
  </si>
  <si>
    <r>
      <rPr>
        <sz val="10"/>
        <color rgb="FF000000"/>
        <rFont val="Calibri"/>
        <charset val="1"/>
      </rPr>
      <t xml:space="preserve">  Gross Margin % | </t>
    </r>
    <r>
      <rPr>
        <sz val="10"/>
        <color rgb="FF000000"/>
        <rFont val="FreeSans"/>
        <family val="2"/>
      </rPr>
      <t xml:space="preserve">هامش الربح الإجمالي </t>
    </r>
    <r>
      <rPr>
        <sz val="10"/>
        <color rgb="FF000000"/>
        <rFont val="Calibri"/>
        <charset val="1"/>
      </rPr>
      <t>%</t>
    </r>
  </si>
  <si>
    <r>
      <rPr>
        <b/>
        <sz val="10"/>
        <color rgb="FFC9A84C"/>
        <rFont val="Calibri"/>
        <charset val="1"/>
      </rPr>
      <t xml:space="preserve">OPERATING EXPENSES | </t>
    </r>
    <r>
      <rPr>
        <b/>
        <sz val="10"/>
        <color rgb="FFC9A84C"/>
        <rFont val="FreeSans"/>
        <family val="2"/>
      </rPr>
      <t>مصاريف التشغيل</t>
    </r>
  </si>
  <si>
    <r>
      <rPr>
        <sz val="10"/>
        <color rgb="FF000000"/>
        <rFont val="Calibri"/>
        <charset val="1"/>
      </rPr>
      <t xml:space="preserve">  Salaries &amp; Benefits | </t>
    </r>
    <r>
      <rPr>
        <sz val="10"/>
        <color rgb="FF000000"/>
        <rFont val="FreeSans"/>
        <family val="2"/>
      </rPr>
      <t>الرواتب والمزايا</t>
    </r>
  </si>
  <si>
    <r>
      <rPr>
        <sz val="10"/>
        <color rgb="FF000000"/>
        <rFont val="Calibri"/>
        <charset val="1"/>
      </rPr>
      <t xml:space="preserve">  Utilities (Power/Water) | </t>
    </r>
    <r>
      <rPr>
        <sz val="10"/>
        <color rgb="FF000000"/>
        <rFont val="FreeSans"/>
        <family val="2"/>
      </rPr>
      <t>المرافق</t>
    </r>
  </si>
  <si>
    <r>
      <rPr>
        <sz val="10"/>
        <color rgb="FF000000"/>
        <rFont val="Calibri"/>
        <charset val="1"/>
      </rPr>
      <t xml:space="preserve">  Fuel &amp; Transport | </t>
    </r>
    <r>
      <rPr>
        <sz val="10"/>
        <color rgb="FF000000"/>
        <rFont val="FreeSans"/>
        <family val="2"/>
      </rPr>
      <t>الوقود والنقل</t>
    </r>
  </si>
  <si>
    <r>
      <rPr>
        <sz val="10"/>
        <color rgb="FF000000"/>
        <rFont val="Calibri"/>
        <charset val="1"/>
      </rPr>
      <t xml:space="preserve">  Rent (Benghazi) | </t>
    </r>
    <r>
      <rPr>
        <sz val="10"/>
        <color rgb="FF000000"/>
        <rFont val="FreeSans"/>
        <family val="2"/>
      </rPr>
      <t xml:space="preserve">الإيجار </t>
    </r>
    <r>
      <rPr>
        <sz val="10"/>
        <color rgb="FF000000"/>
        <rFont val="Calibri"/>
        <charset val="1"/>
      </rPr>
      <t>(</t>
    </r>
    <r>
      <rPr>
        <sz val="10"/>
        <color rgb="FF000000"/>
        <rFont val="FreeSans"/>
        <family val="2"/>
      </rPr>
      <t>بنغازي</t>
    </r>
    <r>
      <rPr>
        <sz val="10"/>
        <color rgb="FF000000"/>
        <rFont val="Calibri"/>
        <charset val="1"/>
      </rPr>
      <t>)</t>
    </r>
  </si>
  <si>
    <r>
      <rPr>
        <sz val="10"/>
        <color rgb="FF000000"/>
        <rFont val="Calibri"/>
        <charset val="1"/>
      </rPr>
      <t xml:space="preserve">  Marketing &amp; Sales | </t>
    </r>
    <r>
      <rPr>
        <sz val="10"/>
        <color rgb="FF000000"/>
        <rFont val="FreeSans"/>
        <family val="2"/>
      </rPr>
      <t>التسويق والمبيعات</t>
    </r>
  </si>
  <si>
    <r>
      <rPr>
        <sz val="10"/>
        <color rgb="FF000000"/>
        <rFont val="Calibri"/>
        <charset val="1"/>
      </rPr>
      <t xml:space="preserve">  Maintenance | </t>
    </r>
    <r>
      <rPr>
        <sz val="10"/>
        <color rgb="FF000000"/>
        <rFont val="FreeSans"/>
        <family val="2"/>
      </rPr>
      <t>الصيانة</t>
    </r>
  </si>
  <si>
    <r>
      <rPr>
        <sz val="10"/>
        <color rgb="FF000000"/>
        <rFont val="Calibri"/>
        <charset val="1"/>
      </rPr>
      <t xml:space="preserve">  Administrative | </t>
    </r>
    <r>
      <rPr>
        <sz val="10"/>
        <color rgb="FF000000"/>
        <rFont val="FreeSans"/>
        <family val="2"/>
      </rPr>
      <t>إدارية</t>
    </r>
  </si>
  <si>
    <r>
      <rPr>
        <sz val="10"/>
        <color rgb="FF000000"/>
        <rFont val="Calibri"/>
        <charset val="1"/>
      </rPr>
      <t xml:space="preserve">  Miscellaneous | </t>
    </r>
    <r>
      <rPr>
        <sz val="10"/>
        <color rgb="FF000000"/>
        <rFont val="FreeSans"/>
        <family val="2"/>
      </rPr>
      <t>متنوعات</t>
    </r>
  </si>
  <si>
    <r>
      <rPr>
        <b/>
        <sz val="10"/>
        <color rgb="FFFFFFFF"/>
        <rFont val="Calibri"/>
        <charset val="1"/>
      </rPr>
      <t xml:space="preserve">  Total OpEx | </t>
    </r>
    <r>
      <rPr>
        <b/>
        <sz val="10"/>
        <color rgb="FFFFFFFF"/>
        <rFont val="FreeSans"/>
        <family val="2"/>
      </rPr>
      <t>إجمالي مصاريف التشغيل</t>
    </r>
  </si>
  <si>
    <r>
      <rPr>
        <b/>
        <sz val="10"/>
        <color rgb="FFFFFFFF"/>
        <rFont val="Calibri"/>
        <charset val="1"/>
      </rPr>
      <t xml:space="preserve">EBITDA | </t>
    </r>
    <r>
      <rPr>
        <b/>
        <sz val="10"/>
        <color rgb="FFFFFFFF"/>
        <rFont val="FreeSans"/>
        <family val="2"/>
      </rPr>
      <t>الأرباح قبل الفوائد والضرائب والاستهلاك</t>
    </r>
  </si>
  <si>
    <r>
      <rPr>
        <sz val="10"/>
        <color rgb="FF000000"/>
        <rFont val="Calibri"/>
        <charset val="1"/>
      </rPr>
      <t xml:space="preserve">  EBITDA Margin % | </t>
    </r>
    <r>
      <rPr>
        <sz val="10"/>
        <color rgb="FF000000"/>
        <rFont val="FreeSans"/>
        <family val="2"/>
      </rPr>
      <t xml:space="preserve">هامش </t>
    </r>
    <r>
      <rPr>
        <sz val="10"/>
        <color rgb="FF000000"/>
        <rFont val="Calibri"/>
        <charset val="1"/>
      </rPr>
      <t>EBITDA</t>
    </r>
  </si>
  <si>
    <r>
      <rPr>
        <sz val="10"/>
        <color rgb="FF000000"/>
        <rFont val="Calibri"/>
        <charset val="1"/>
      </rPr>
      <t xml:space="preserve">  Depreciation &amp; Amortization | </t>
    </r>
    <r>
      <rPr>
        <sz val="10"/>
        <color rgb="FF000000"/>
        <rFont val="FreeSans"/>
        <family val="2"/>
      </rPr>
      <t>الاستهلاك والإطفاء</t>
    </r>
  </si>
  <si>
    <r>
      <rPr>
        <b/>
        <sz val="10"/>
        <color rgb="FFFFFFFF"/>
        <rFont val="Calibri"/>
        <charset val="1"/>
      </rPr>
      <t xml:space="preserve">EBIT (Operating Income) | </t>
    </r>
    <r>
      <rPr>
        <b/>
        <sz val="10"/>
        <color rgb="FFFFFFFF"/>
        <rFont val="FreeSans"/>
        <family val="2"/>
      </rPr>
      <t>الربح التشغيلي</t>
    </r>
  </si>
  <si>
    <r>
      <rPr>
        <sz val="10"/>
        <color rgb="FF000000"/>
        <rFont val="Calibri"/>
        <charset val="1"/>
      </rPr>
      <t xml:space="preserve">  Interest Expense | </t>
    </r>
    <r>
      <rPr>
        <sz val="10"/>
        <color rgb="FF000000"/>
        <rFont val="FreeSans"/>
        <family val="2"/>
      </rPr>
      <t>مصاريف الفوائد</t>
    </r>
  </si>
  <si>
    <r>
      <rPr>
        <b/>
        <sz val="10"/>
        <color rgb="FFFFFFFF"/>
        <rFont val="Calibri"/>
        <charset val="1"/>
      </rPr>
      <t xml:space="preserve">EBT (Pre-Tax Profit) | </t>
    </r>
    <r>
      <rPr>
        <b/>
        <sz val="10"/>
        <color rgb="FFFFFFFF"/>
        <rFont val="FreeSans"/>
        <family val="2"/>
      </rPr>
      <t>الربح قبل الضريبة</t>
    </r>
  </si>
  <si>
    <r>
      <rPr>
        <sz val="10"/>
        <color rgb="FF000000"/>
        <rFont val="Calibri"/>
        <charset val="1"/>
      </rPr>
      <t xml:space="preserve">  Income Tax (20%) | </t>
    </r>
    <r>
      <rPr>
        <sz val="10"/>
        <color rgb="FF000000"/>
        <rFont val="FreeSans"/>
        <family val="2"/>
      </rPr>
      <t>ضريبة الدخل</t>
    </r>
  </si>
  <si>
    <r>
      <rPr>
        <b/>
        <sz val="10"/>
        <color rgb="FFFFFFFF"/>
        <rFont val="Calibri"/>
        <charset val="1"/>
      </rPr>
      <t xml:space="preserve">NET INCOME | </t>
    </r>
    <r>
      <rPr>
        <b/>
        <sz val="10"/>
        <color rgb="FFFFFFFF"/>
        <rFont val="FreeSans"/>
        <family val="2"/>
      </rPr>
      <t>صافي الدخل</t>
    </r>
  </si>
  <si>
    <r>
      <rPr>
        <sz val="10"/>
        <color rgb="FF000000"/>
        <rFont val="Calibri"/>
        <charset val="1"/>
      </rPr>
      <t xml:space="preserve">  Net Margin % | </t>
    </r>
    <r>
      <rPr>
        <sz val="10"/>
        <color rgb="FF000000"/>
        <rFont val="FreeSans"/>
        <family val="2"/>
      </rPr>
      <t xml:space="preserve">هامش صافي الدخل </t>
    </r>
    <r>
      <rPr>
        <sz val="10"/>
        <color rgb="FF000000"/>
        <rFont val="Calibri"/>
        <charset val="1"/>
      </rPr>
      <t>%</t>
    </r>
  </si>
  <si>
    <r>
      <rPr>
        <b/>
        <sz val="13"/>
        <color rgb="FFC9A84C"/>
        <rFont val="Calibri"/>
        <charset val="1"/>
      </rPr>
      <t xml:space="preserve">  OPERATING EXPENSE MODEL  |  </t>
    </r>
    <r>
      <rPr>
        <b/>
        <sz val="13"/>
        <color rgb="FFC9A84C"/>
        <rFont val="FreeSans"/>
        <family val="2"/>
      </rPr>
      <t>نموذج المصاريف التشغيلية</t>
    </r>
  </si>
  <si>
    <r>
      <rPr>
        <b/>
        <sz val="10"/>
        <color rgb="FFFFFFFF"/>
        <rFont val="Calibri"/>
        <charset val="1"/>
      </rPr>
      <t xml:space="preserve">Expense Item | </t>
    </r>
    <r>
      <rPr>
        <b/>
        <sz val="10"/>
        <color rgb="FFFFFFFF"/>
        <rFont val="FreeSans"/>
        <family val="2"/>
      </rPr>
      <t>بند المصروف</t>
    </r>
  </si>
  <si>
    <t>Jan
Year 1</t>
  </si>
  <si>
    <t>Feb
Year 1</t>
  </si>
  <si>
    <t>Mar
Year 1</t>
  </si>
  <si>
    <t>Apr
Year 1</t>
  </si>
  <si>
    <t>May
Year 1</t>
  </si>
  <si>
    <t>Jun
Year 1</t>
  </si>
  <si>
    <t>Jul
Year 1</t>
  </si>
  <si>
    <t>Aug
Year 1</t>
  </si>
  <si>
    <t>Sep
Year 1</t>
  </si>
  <si>
    <t>Oct
Year 1</t>
  </si>
  <si>
    <t>Nov
Year 1</t>
  </si>
  <si>
    <t>Dec
Year 1</t>
  </si>
  <si>
    <t>Y1 Annual</t>
  </si>
  <si>
    <t>Y2 Annual</t>
  </si>
  <si>
    <r>
      <rPr>
        <b/>
        <sz val="10"/>
        <color rgb="FFC9A84C"/>
        <rFont val="Calibri"/>
        <charset val="1"/>
      </rPr>
      <t xml:space="preserve">FIXED COSTS | </t>
    </r>
    <r>
      <rPr>
        <b/>
        <sz val="10"/>
        <color rgb="FFC9A84C"/>
        <rFont val="FreeSans"/>
        <family val="2"/>
      </rPr>
      <t>التكاليف الثابتة</t>
    </r>
  </si>
  <si>
    <r>
      <rPr>
        <sz val="10"/>
        <color rgb="FF000000"/>
        <rFont val="Calibri"/>
        <charset val="1"/>
      </rPr>
      <t xml:space="preserve">  Factory Manager Salary | </t>
    </r>
    <r>
      <rPr>
        <sz val="10"/>
        <color rgb="FF000000"/>
        <rFont val="FreeSans"/>
        <family val="2"/>
      </rPr>
      <t>راتب مدير المصنع</t>
    </r>
  </si>
  <si>
    <r>
      <rPr>
        <sz val="10"/>
        <color rgb="FF000000"/>
        <rFont val="Calibri"/>
        <charset val="1"/>
      </rPr>
      <t xml:space="preserve">  Engineers (2) | </t>
    </r>
    <r>
      <rPr>
        <sz val="10"/>
        <color rgb="FF000000"/>
        <rFont val="FreeSans"/>
        <family val="2"/>
      </rPr>
      <t>المهندسون</t>
    </r>
  </si>
  <si>
    <r>
      <rPr>
        <sz val="10"/>
        <color rgb="FF000000"/>
        <rFont val="Calibri"/>
        <charset val="1"/>
      </rPr>
      <t xml:space="preserve">  Production Staff (15) | </t>
    </r>
    <r>
      <rPr>
        <sz val="10"/>
        <color rgb="FF000000"/>
        <rFont val="FreeSans"/>
        <family val="2"/>
      </rPr>
      <t>طاقم الإنتاج</t>
    </r>
  </si>
  <si>
    <r>
      <rPr>
        <sz val="10"/>
        <color rgb="FF000000"/>
        <rFont val="Calibri"/>
        <charset val="1"/>
      </rPr>
      <t xml:space="preserve">  Admin &amp; Finance | </t>
    </r>
    <r>
      <rPr>
        <sz val="10"/>
        <color rgb="FF000000"/>
        <rFont val="FreeSans"/>
        <family val="2"/>
      </rPr>
      <t>إداري ومالي</t>
    </r>
  </si>
  <si>
    <r>
      <rPr>
        <sz val="10"/>
        <color rgb="FF000000"/>
        <rFont val="Calibri"/>
        <charset val="1"/>
      </rPr>
      <t xml:space="preserve">  Security &amp; Cleaning | </t>
    </r>
    <r>
      <rPr>
        <sz val="10"/>
        <color rgb="FF000000"/>
        <rFont val="FreeSans"/>
        <family val="2"/>
      </rPr>
      <t>أمن ونظافة</t>
    </r>
  </si>
  <si>
    <r>
      <rPr>
        <sz val="10"/>
        <color rgb="FF000000"/>
        <rFont val="Calibri"/>
        <charset val="1"/>
      </rPr>
      <t xml:space="preserve">  Rent (Benghazi) | </t>
    </r>
    <r>
      <rPr>
        <sz val="10"/>
        <color rgb="FF000000"/>
        <rFont val="FreeSans"/>
        <family val="2"/>
      </rPr>
      <t>إيجار بنغازي</t>
    </r>
  </si>
  <si>
    <r>
      <rPr>
        <sz val="10"/>
        <color rgb="FF000000"/>
        <rFont val="Calibri"/>
        <charset val="1"/>
      </rPr>
      <t xml:space="preserve">  Insurance | </t>
    </r>
    <r>
      <rPr>
        <sz val="10"/>
        <color rgb="FF000000"/>
        <rFont val="FreeSans"/>
        <family val="2"/>
      </rPr>
      <t>تأمين</t>
    </r>
  </si>
  <si>
    <r>
      <rPr>
        <sz val="10"/>
        <color rgb="FF000000"/>
        <rFont val="Calibri"/>
        <charset val="1"/>
      </rPr>
      <t xml:space="preserve">  Office &amp; Admin Costs | </t>
    </r>
    <r>
      <rPr>
        <sz val="10"/>
        <color rgb="FF000000"/>
        <rFont val="FreeSans"/>
        <family val="2"/>
      </rPr>
      <t>تكاليف المكتب</t>
    </r>
  </si>
  <si>
    <r>
      <rPr>
        <b/>
        <sz val="10"/>
        <color rgb="FFFFFFFF"/>
        <rFont val="Calibri"/>
        <charset val="1"/>
      </rPr>
      <t xml:space="preserve">  Total Fixed Costs | </t>
    </r>
    <r>
      <rPr>
        <b/>
        <sz val="10"/>
        <color rgb="FFFFFFFF"/>
        <rFont val="FreeSans"/>
        <family val="2"/>
      </rPr>
      <t>إجمالي التكاليف الثابتة</t>
    </r>
  </si>
  <si>
    <r>
      <rPr>
        <b/>
        <sz val="10"/>
        <color rgb="FFC9A84C"/>
        <rFont val="Calibri"/>
        <charset val="1"/>
      </rPr>
      <t xml:space="preserve">VARIABLE COSTS | </t>
    </r>
    <r>
      <rPr>
        <b/>
        <sz val="10"/>
        <color rgb="FFC9A84C"/>
        <rFont val="FreeSans"/>
        <family val="2"/>
      </rPr>
      <t>التكاليف المتغيرة</t>
    </r>
  </si>
  <si>
    <r>
      <rPr>
        <sz val="10"/>
        <color rgb="FF000000"/>
        <rFont val="Calibri"/>
        <charset val="1"/>
      </rPr>
      <t xml:space="preserve">  Raw Materials (per boat) | </t>
    </r>
    <r>
      <rPr>
        <sz val="10"/>
        <color rgb="FF000000"/>
        <rFont val="FreeSans"/>
        <family val="2"/>
      </rPr>
      <t>مواد خام</t>
    </r>
  </si>
  <si>
    <r>
      <rPr>
        <sz val="10"/>
        <color rgb="FF000000"/>
        <rFont val="Calibri"/>
        <charset val="1"/>
      </rPr>
      <t xml:space="preserve">  Utilities (Power/Water) | </t>
    </r>
    <r>
      <rPr>
        <sz val="10"/>
        <color rgb="FF000000"/>
        <rFont val="FreeSans"/>
        <family val="2"/>
      </rPr>
      <t>مرافق</t>
    </r>
  </si>
  <si>
    <r>
      <rPr>
        <sz val="10"/>
        <color rgb="FF000000"/>
        <rFont val="Calibri"/>
        <charset val="1"/>
      </rPr>
      <t xml:space="preserve">  Fuel &amp; Transport | </t>
    </r>
    <r>
      <rPr>
        <sz val="10"/>
        <color rgb="FF000000"/>
        <rFont val="FreeSans"/>
        <family val="2"/>
      </rPr>
      <t>وقود ونقل</t>
    </r>
  </si>
  <si>
    <r>
      <rPr>
        <sz val="10"/>
        <color rgb="FF000000"/>
        <rFont val="Calibri"/>
        <charset val="1"/>
      </rPr>
      <t xml:space="preserve">  Maintenance &amp; Repairs | </t>
    </r>
    <r>
      <rPr>
        <sz val="10"/>
        <color rgb="FF000000"/>
        <rFont val="FreeSans"/>
        <family val="2"/>
      </rPr>
      <t>صيانة وإصلاح</t>
    </r>
  </si>
  <si>
    <r>
      <rPr>
        <sz val="10"/>
        <color rgb="FF000000"/>
        <rFont val="Calibri"/>
        <charset val="1"/>
      </rPr>
      <t xml:space="preserve">  Marketing &amp; Sales | </t>
    </r>
    <r>
      <rPr>
        <sz val="10"/>
        <color rgb="FF000000"/>
        <rFont val="FreeSans"/>
        <family val="2"/>
      </rPr>
      <t>تسويق ومبيعات</t>
    </r>
  </si>
  <si>
    <r>
      <rPr>
        <b/>
        <sz val="10"/>
        <color rgb="FFFFFFFF"/>
        <rFont val="Calibri"/>
        <charset val="1"/>
      </rPr>
      <t xml:space="preserve">  Total Variable Costs | </t>
    </r>
    <r>
      <rPr>
        <b/>
        <sz val="10"/>
        <color rgb="FFFFFFFF"/>
        <rFont val="FreeSans"/>
        <family val="2"/>
      </rPr>
      <t>إجمالي التكاليف المتغيرة</t>
    </r>
  </si>
  <si>
    <r>
      <rPr>
        <b/>
        <sz val="10"/>
        <color rgb="FFC9A84C"/>
        <rFont val="Calibri"/>
        <charset val="1"/>
      </rPr>
      <t xml:space="preserve">TOTAL OPERATING EXPENSES | </t>
    </r>
    <r>
      <rPr>
        <b/>
        <sz val="10"/>
        <color rgb="FFC9A84C"/>
        <rFont val="FreeSans"/>
        <family val="2"/>
      </rPr>
      <t>إجمالي المصاريف التشغيلية</t>
    </r>
  </si>
  <si>
    <r>
      <rPr>
        <b/>
        <sz val="13"/>
        <color rgb="FFC9A84C"/>
        <rFont val="Calibri"/>
        <charset val="1"/>
      </rPr>
      <t xml:space="preserve">  WORKING CAPITAL SCHEDULE  |  </t>
    </r>
    <r>
      <rPr>
        <b/>
        <sz val="13"/>
        <color rgb="FFC9A84C"/>
        <rFont val="FreeSans"/>
        <family val="2"/>
      </rPr>
      <t>جدول رأس المال العامل</t>
    </r>
  </si>
  <si>
    <r>
      <rPr>
        <b/>
        <sz val="10"/>
        <color rgb="FFFFFFFF"/>
        <rFont val="Calibri"/>
        <charset val="1"/>
      </rPr>
      <t xml:space="preserve">Line Item | </t>
    </r>
    <r>
      <rPr>
        <b/>
        <sz val="10"/>
        <color rgb="FFFFFFFF"/>
        <rFont val="FreeSans"/>
        <family val="2"/>
      </rPr>
      <t>البند</t>
    </r>
  </si>
  <si>
    <t>Year 1</t>
  </si>
  <si>
    <t>Year 2</t>
  </si>
  <si>
    <t>Year 3</t>
  </si>
  <si>
    <t>Year 4</t>
  </si>
  <si>
    <t>Year 5</t>
  </si>
  <si>
    <r>
      <rPr>
        <b/>
        <sz val="9"/>
        <color rgb="FFF0D080"/>
        <rFont val="Calibri"/>
        <charset val="1"/>
      </rPr>
      <t xml:space="preserve">  ASSUMPTIONS  |  </t>
    </r>
    <r>
      <rPr>
        <b/>
        <sz val="9"/>
        <color rgb="FFF0D080"/>
        <rFont val="FreeSans"/>
        <family val="2"/>
      </rPr>
      <t>الافتراضات</t>
    </r>
  </si>
  <si>
    <r>
      <rPr>
        <sz val="10"/>
        <color rgb="FF000000"/>
        <rFont val="Calibri"/>
        <charset val="1"/>
      </rPr>
      <t xml:space="preserve">Receivable Days (AR) | </t>
    </r>
    <r>
      <rPr>
        <sz val="10"/>
        <color rgb="FF000000"/>
        <rFont val="FreeSans"/>
        <family val="2"/>
      </rPr>
      <t>أيام الذمم المدينة</t>
    </r>
  </si>
  <si>
    <r>
      <rPr>
        <sz val="10"/>
        <color rgb="FF000000"/>
        <rFont val="Calibri"/>
        <charset val="1"/>
      </rPr>
      <t xml:space="preserve">Payable Days (AP) | </t>
    </r>
    <r>
      <rPr>
        <sz val="10"/>
        <color rgb="FF000000"/>
        <rFont val="FreeSans"/>
        <family val="2"/>
      </rPr>
      <t>أيام الذمم الدائنة</t>
    </r>
  </si>
  <si>
    <r>
      <rPr>
        <b/>
        <sz val="10"/>
        <color rgb="FFC9A84C"/>
        <rFont val="Calibri"/>
        <charset val="1"/>
      </rPr>
      <t xml:space="preserve">  WORKING CAPITAL SCHEDULE  |  </t>
    </r>
    <r>
      <rPr>
        <b/>
        <sz val="10"/>
        <color rgb="FFC9A84C"/>
        <rFont val="FreeSans"/>
        <family val="2"/>
      </rPr>
      <t>جدول رأس المال العامل</t>
    </r>
  </si>
  <si>
    <r>
      <rPr>
        <sz val="10"/>
        <color rgb="FF000000"/>
        <rFont val="Calibri"/>
        <charset val="1"/>
      </rPr>
      <t xml:space="preserve">Accounts Receivable (LYD) | </t>
    </r>
    <r>
      <rPr>
        <sz val="10"/>
        <color rgb="FF000000"/>
        <rFont val="FreeSans"/>
        <family val="2"/>
      </rPr>
      <t>الذمم المدينة</t>
    </r>
  </si>
  <si>
    <r>
      <rPr>
        <sz val="10"/>
        <color rgb="FF000000"/>
        <rFont val="Calibri"/>
        <charset val="1"/>
      </rPr>
      <t xml:space="preserve">Inventory (LYD) | </t>
    </r>
    <r>
      <rPr>
        <sz val="10"/>
        <color rgb="FF000000"/>
        <rFont val="FreeSans"/>
        <family val="2"/>
      </rPr>
      <t>المخزون</t>
    </r>
  </si>
  <si>
    <r>
      <rPr>
        <sz val="10"/>
        <color rgb="FF000000"/>
        <rFont val="Calibri"/>
        <charset val="1"/>
      </rPr>
      <t xml:space="preserve">Accounts Payable (LYD) | </t>
    </r>
    <r>
      <rPr>
        <sz val="10"/>
        <color rgb="FF000000"/>
        <rFont val="FreeSans"/>
        <family val="2"/>
      </rPr>
      <t>الذمم الدائنة</t>
    </r>
  </si>
  <si>
    <r>
      <rPr>
        <b/>
        <sz val="11"/>
        <color rgb="FFC9A84C"/>
        <rFont val="Calibri"/>
        <charset val="1"/>
      </rPr>
      <t xml:space="preserve">NET WORKING CAPITAL | </t>
    </r>
    <r>
      <rPr>
        <b/>
        <sz val="11"/>
        <color rgb="FFC9A84C"/>
        <rFont val="FreeSans"/>
        <family val="2"/>
      </rPr>
      <t>صافي رأس المال العامل</t>
    </r>
  </si>
  <si>
    <r>
      <rPr>
        <b/>
        <sz val="10"/>
        <color rgb="FFFFFFFF"/>
        <rFont val="Calibri"/>
        <charset val="1"/>
      </rPr>
      <t xml:space="preserve">Change in NWC | </t>
    </r>
    <r>
      <rPr>
        <b/>
        <sz val="10"/>
        <color rgb="FFFFFFFF"/>
        <rFont val="FreeSans"/>
        <family val="2"/>
      </rPr>
      <t>التغير في رأس المال العامل</t>
    </r>
  </si>
  <si>
    <r>
      <rPr>
        <b/>
        <sz val="13"/>
        <color rgb="FFC9A84C"/>
        <rFont val="Calibri"/>
        <charset val="1"/>
      </rPr>
      <t xml:space="preserve">  DCF VALUATION MODEL  |  </t>
    </r>
    <r>
      <rPr>
        <b/>
        <sz val="13"/>
        <color rgb="FFC9A84C"/>
        <rFont val="FreeSans"/>
        <family val="2"/>
      </rPr>
      <t>نموذج التقييم بالتدفق النقدي المخصوم</t>
    </r>
  </si>
  <si>
    <r>
      <rPr>
        <b/>
        <sz val="9"/>
        <color rgb="FFF0D080"/>
        <rFont val="Calibri"/>
        <charset val="1"/>
      </rPr>
      <t xml:space="preserve">  DCF INPUTS (from ASSUMPTIONS tab)  |  </t>
    </r>
    <r>
      <rPr>
        <b/>
        <sz val="9"/>
        <color rgb="FFF0D080"/>
        <rFont val="FreeSans"/>
        <family val="2"/>
      </rPr>
      <t>مدخلات التقييم</t>
    </r>
  </si>
  <si>
    <r>
      <rPr>
        <b/>
        <sz val="10"/>
        <color rgb="FFC9A84C"/>
        <rFont val="Calibri"/>
        <charset val="1"/>
      </rPr>
      <t xml:space="preserve">  FREE CASH FLOW PROJECTION  |  </t>
    </r>
    <r>
      <rPr>
        <b/>
        <sz val="10"/>
        <color rgb="FFC9A84C"/>
        <rFont val="FreeSans"/>
        <family val="2"/>
      </rPr>
      <t>توقعات التدفق النقدي الحر</t>
    </r>
  </si>
  <si>
    <r>
      <rPr>
        <sz val="10"/>
        <color rgb="FF000000"/>
        <rFont val="Calibri"/>
        <charset val="1"/>
      </rPr>
      <t xml:space="preserve">Revenue (LYD) | </t>
    </r>
    <r>
      <rPr>
        <sz val="10"/>
        <color rgb="FF000000"/>
        <rFont val="FreeSans"/>
        <family val="2"/>
      </rPr>
      <t>الإيرادات</t>
    </r>
  </si>
  <si>
    <r>
      <rPr>
        <sz val="10"/>
        <color rgb="FFFF8C00"/>
        <rFont val="Calibri"/>
        <charset val="1"/>
      </rPr>
      <t xml:space="preserve">EBITDA (LYD) | </t>
    </r>
    <r>
      <rPr>
        <sz val="10"/>
        <color rgb="FFFF8C00"/>
        <rFont val="FreeSans"/>
        <family val="2"/>
      </rPr>
      <t xml:space="preserve">أرباح </t>
    </r>
    <r>
      <rPr>
        <sz val="10"/>
        <color rgb="FFFF8C00"/>
        <rFont val="Calibri"/>
        <charset val="1"/>
      </rPr>
      <t>EBITDA</t>
    </r>
  </si>
  <si>
    <r>
      <rPr>
        <sz val="10"/>
        <color rgb="FF006D77"/>
        <rFont val="Calibri"/>
        <charset val="1"/>
      </rPr>
      <t xml:space="preserve">  EBITDA Margin % | </t>
    </r>
    <r>
      <rPr>
        <sz val="10"/>
        <color rgb="FF006D77"/>
        <rFont val="FreeSans"/>
        <family val="2"/>
      </rPr>
      <t xml:space="preserve">هامش </t>
    </r>
    <r>
      <rPr>
        <sz val="10"/>
        <color rgb="FF006D77"/>
        <rFont val="Calibri"/>
        <charset val="1"/>
      </rPr>
      <t>EBITDA</t>
    </r>
  </si>
  <si>
    <r>
      <rPr>
        <sz val="10"/>
        <color rgb="FFC00000"/>
        <rFont val="Calibri"/>
        <charset val="1"/>
      </rPr>
      <t xml:space="preserve">(-) Tax | </t>
    </r>
    <r>
      <rPr>
        <sz val="10"/>
        <color rgb="FFC00000"/>
        <rFont val="FreeSans"/>
        <family val="2"/>
      </rPr>
      <t>الضريبة</t>
    </r>
  </si>
  <si>
    <r>
      <rPr>
        <sz val="10"/>
        <color rgb="FFC00000"/>
        <rFont val="Calibri"/>
        <charset val="1"/>
      </rPr>
      <t xml:space="preserve">(-) Capital Expenditure | </t>
    </r>
    <r>
      <rPr>
        <sz val="10"/>
        <color rgb="FFC00000"/>
        <rFont val="FreeSans"/>
        <family val="2"/>
      </rPr>
      <t>الكابكس</t>
    </r>
  </si>
  <si>
    <r>
      <rPr>
        <sz val="10"/>
        <color rgb="FFC00000"/>
        <rFont val="Calibri"/>
        <charset val="1"/>
      </rPr>
      <t xml:space="preserve">(-) Change in Working Capital | </t>
    </r>
    <r>
      <rPr>
        <sz val="10"/>
        <color rgb="FFC00000"/>
        <rFont val="FreeSans"/>
        <family val="2"/>
      </rPr>
      <t>تغير رأس المال العامل</t>
    </r>
  </si>
  <si>
    <r>
      <rPr>
        <sz val="10"/>
        <color rgb="FF00703C"/>
        <rFont val="Calibri"/>
        <charset val="1"/>
      </rPr>
      <t xml:space="preserve">(+) Depreciation | </t>
    </r>
    <r>
      <rPr>
        <sz val="10"/>
        <color rgb="FF00703C"/>
        <rFont val="FreeSans"/>
        <family val="2"/>
      </rPr>
      <t>الاستهلاك</t>
    </r>
  </si>
  <si>
    <r>
      <rPr>
        <b/>
        <sz val="10"/>
        <color rgb="FFC9A84C"/>
        <rFont val="Calibri"/>
        <charset val="1"/>
      </rPr>
      <t xml:space="preserve">UNLEVERED FREE CASH FLOW | </t>
    </r>
    <r>
      <rPr>
        <b/>
        <sz val="10"/>
        <color rgb="FFC9A84C"/>
        <rFont val="FreeSans"/>
        <family val="2"/>
      </rPr>
      <t>التدفق النقدي الحر</t>
    </r>
  </si>
  <si>
    <r>
      <rPr>
        <b/>
        <sz val="10"/>
        <color rgb="FFF0D080"/>
        <rFont val="Calibri"/>
        <charset val="1"/>
      </rPr>
      <t xml:space="preserve">  DISCOUNT FACTORS &amp; PV  |  </t>
    </r>
    <r>
      <rPr>
        <b/>
        <sz val="10"/>
        <color rgb="FFF0D080"/>
        <rFont val="FreeSans"/>
        <family val="2"/>
      </rPr>
      <t>عوامل الخصم والقيمة الحالية</t>
    </r>
  </si>
  <si>
    <r>
      <rPr>
        <sz val="10"/>
        <color rgb="FF000000"/>
        <rFont val="Calibri"/>
        <charset val="1"/>
      </rPr>
      <t xml:space="preserve">Discount Factor | </t>
    </r>
    <r>
      <rPr>
        <sz val="10"/>
        <color rgb="FF000000"/>
        <rFont val="FreeSans"/>
        <family val="2"/>
      </rPr>
      <t>عامل الخصم</t>
    </r>
  </si>
  <si>
    <r>
      <rPr>
        <sz val="10"/>
        <color rgb="FF000000"/>
        <rFont val="Calibri"/>
        <charset val="1"/>
      </rPr>
      <t xml:space="preserve">PV of FCF | </t>
    </r>
    <r>
      <rPr>
        <sz val="10"/>
        <color rgb="FF000000"/>
        <rFont val="FreeSans"/>
        <family val="2"/>
      </rPr>
      <t>القيمة الحالية للتدفق النقدي</t>
    </r>
  </si>
  <si>
    <r>
      <rPr>
        <b/>
        <sz val="10"/>
        <color rgb="FFFFFFFF"/>
        <rFont val="Calibri"/>
        <charset val="1"/>
      </rPr>
      <t xml:space="preserve">Sum of PV (FCF) | </t>
    </r>
    <r>
      <rPr>
        <b/>
        <sz val="10"/>
        <color rgb="FFFFFFFF"/>
        <rFont val="FreeSans"/>
        <family val="2"/>
      </rPr>
      <t>مجموع القيم الحالية</t>
    </r>
  </si>
  <si>
    <r>
      <rPr>
        <b/>
        <sz val="10"/>
        <color rgb="FFC9A84C"/>
        <rFont val="Calibri"/>
        <charset val="1"/>
      </rPr>
      <t xml:space="preserve">  TERMINAL VALUE  |  </t>
    </r>
    <r>
      <rPr>
        <b/>
        <sz val="10"/>
        <color rgb="FFC9A84C"/>
        <rFont val="FreeSans"/>
        <family val="2"/>
      </rPr>
      <t>القيمة النهائية</t>
    </r>
  </si>
  <si>
    <r>
      <rPr>
        <sz val="10"/>
        <color rgb="FF000000"/>
        <rFont val="Calibri"/>
        <charset val="1"/>
      </rPr>
      <t xml:space="preserve">Gordon Growth Model TV | </t>
    </r>
    <r>
      <rPr>
        <sz val="10"/>
        <color rgb="FF000000"/>
        <rFont val="FreeSans"/>
        <family val="2"/>
      </rPr>
      <t>نموذج جوردون</t>
    </r>
  </si>
  <si>
    <r>
      <rPr>
        <sz val="10"/>
        <color rgb="FF000000"/>
        <rFont val="Calibri"/>
        <charset val="1"/>
      </rPr>
      <t xml:space="preserve">PV of Terminal Value (Gordon) | </t>
    </r>
    <r>
      <rPr>
        <sz val="10"/>
        <color rgb="FF000000"/>
        <rFont val="FreeSans"/>
        <family val="2"/>
      </rPr>
      <t>القيمة الحالية للقيمة النهائية</t>
    </r>
  </si>
  <si>
    <r>
      <rPr>
        <sz val="10"/>
        <color rgb="FF000000"/>
        <rFont val="Calibri"/>
        <charset val="1"/>
      </rPr>
      <t xml:space="preserve">EV/EBITDA Exit TV | </t>
    </r>
    <r>
      <rPr>
        <sz val="10"/>
        <color rgb="FF000000"/>
        <rFont val="FreeSans"/>
        <family val="2"/>
      </rPr>
      <t xml:space="preserve">القيمة النهائية بمضاعف </t>
    </r>
    <r>
      <rPr>
        <sz val="10"/>
        <color rgb="FF000000"/>
        <rFont val="Calibri"/>
        <charset val="1"/>
      </rPr>
      <t>EBITDA</t>
    </r>
  </si>
  <si>
    <r>
      <rPr>
        <sz val="10"/>
        <color rgb="FF000000"/>
        <rFont val="Calibri"/>
        <charset val="1"/>
      </rPr>
      <t xml:space="preserve">PV of Exit TV | </t>
    </r>
    <r>
      <rPr>
        <sz val="10"/>
        <color rgb="FF000000"/>
        <rFont val="FreeSans"/>
        <family val="2"/>
      </rPr>
      <t>القيمة الحالية لمضاعف الخروج</t>
    </r>
  </si>
  <si>
    <r>
      <rPr>
        <b/>
        <sz val="11"/>
        <color rgb="FFC9A84C"/>
        <rFont val="Calibri"/>
        <charset val="1"/>
      </rPr>
      <t xml:space="preserve">  VALUATION SUMMARY  |  </t>
    </r>
    <r>
      <rPr>
        <b/>
        <sz val="11"/>
        <color rgb="FFC9A84C"/>
        <rFont val="FreeSans"/>
        <family val="2"/>
      </rPr>
      <t>ملخص التقييم</t>
    </r>
  </si>
  <si>
    <r>
      <rPr>
        <sz val="10"/>
        <color rgb="FFFFFFFF"/>
        <rFont val="Calibri"/>
        <charset val="1"/>
      </rPr>
      <t xml:space="preserve">Enterprise Value (Gordon) | </t>
    </r>
    <r>
      <rPr>
        <sz val="10"/>
        <color rgb="FFFFFFFF"/>
        <rFont val="FreeSans"/>
        <family val="2"/>
      </rPr>
      <t xml:space="preserve">قيمة المنشأة </t>
    </r>
    <r>
      <rPr>
        <sz val="10"/>
        <color rgb="FFFFFFFF"/>
        <rFont val="Calibri"/>
        <charset val="1"/>
      </rPr>
      <t>(</t>
    </r>
    <r>
      <rPr>
        <sz val="10"/>
        <color rgb="FFFFFFFF"/>
        <rFont val="FreeSans"/>
        <family val="2"/>
      </rPr>
      <t>جوردون</t>
    </r>
    <r>
      <rPr>
        <sz val="10"/>
        <color rgb="FFFFFFFF"/>
        <rFont val="Calibri"/>
        <charset val="1"/>
      </rPr>
      <t>)</t>
    </r>
  </si>
  <si>
    <r>
      <rPr>
        <sz val="10"/>
        <color rgb="FFFFFFFF"/>
        <rFont val="Calibri"/>
        <charset val="1"/>
      </rPr>
      <t xml:space="preserve">Enterprise Value (Exit Multiple) | </t>
    </r>
    <r>
      <rPr>
        <sz val="10"/>
        <color rgb="FFFFFFFF"/>
        <rFont val="FreeSans"/>
        <family val="2"/>
      </rPr>
      <t xml:space="preserve">قيمة المنشأة </t>
    </r>
    <r>
      <rPr>
        <sz val="10"/>
        <color rgb="FFFFFFFF"/>
        <rFont val="Calibri"/>
        <charset val="1"/>
      </rPr>
      <t>(</t>
    </r>
    <r>
      <rPr>
        <sz val="10"/>
        <color rgb="FFFFFFFF"/>
        <rFont val="FreeSans"/>
        <family val="2"/>
      </rPr>
      <t>مضاعف الخروج</t>
    </r>
    <r>
      <rPr>
        <sz val="10"/>
        <color rgb="FFFFFFFF"/>
        <rFont val="Calibri"/>
        <charset val="1"/>
      </rPr>
      <t>)</t>
    </r>
  </si>
  <si>
    <r>
      <rPr>
        <b/>
        <sz val="11"/>
        <color rgb="FFC9A84C"/>
        <rFont val="Calibri"/>
        <charset val="1"/>
      </rPr>
      <t xml:space="preserve">Blended Enterprise Value | </t>
    </r>
    <r>
      <rPr>
        <b/>
        <sz val="11"/>
        <color rgb="FFC9A84C"/>
        <rFont val="FreeSans"/>
        <family val="2"/>
      </rPr>
      <t>قيمة المنشأة المدمجة</t>
    </r>
  </si>
  <si>
    <r>
      <rPr>
        <sz val="10"/>
        <color rgb="FFC00000"/>
        <rFont val="Calibri"/>
        <charset val="1"/>
      </rPr>
      <t xml:space="preserve">(-) Net Debt | </t>
    </r>
    <r>
      <rPr>
        <sz val="10"/>
        <color rgb="FFC00000"/>
        <rFont val="FreeSans"/>
        <family val="2"/>
      </rPr>
      <t>الديون الصافية</t>
    </r>
  </si>
  <si>
    <r>
      <rPr>
        <b/>
        <sz val="11"/>
        <color rgb="FFC9A84C"/>
        <rFont val="Calibri"/>
        <charset val="1"/>
      </rPr>
      <t xml:space="preserve">EQUITY VALUE | </t>
    </r>
    <r>
      <rPr>
        <b/>
        <sz val="11"/>
        <color rgb="FFC9A84C"/>
        <rFont val="FreeSans"/>
        <family val="2"/>
      </rPr>
      <t>قيمة حقوق الملكية</t>
    </r>
  </si>
  <si>
    <r>
      <rPr>
        <sz val="10"/>
        <color rgb="FFF0D080"/>
        <rFont val="Calibri"/>
        <charset val="1"/>
      </rPr>
      <t xml:space="preserve">Investor Share (20%) | </t>
    </r>
    <r>
      <rPr>
        <sz val="10"/>
        <color rgb="FFF0D080"/>
        <rFont val="FreeSans"/>
        <family val="2"/>
      </rPr>
      <t>حصة المستثمر</t>
    </r>
  </si>
  <si>
    <r>
      <rPr>
        <sz val="10"/>
        <color rgb="FFFFFFFF"/>
        <rFont val="Calibri"/>
        <charset val="1"/>
      </rPr>
      <t xml:space="preserve">Implied Revenue Multiple | </t>
    </r>
    <r>
      <rPr>
        <sz val="10"/>
        <color rgb="FFFFFFFF"/>
        <rFont val="FreeSans"/>
        <family val="2"/>
      </rPr>
      <t>مضاعف الإيرادات الضمني</t>
    </r>
  </si>
  <si>
    <r>
      <rPr>
        <sz val="10"/>
        <color rgb="FFFFFFFF"/>
        <rFont val="Calibri"/>
        <charset val="1"/>
      </rPr>
      <t xml:space="preserve">Implied EBITDA Multiple | </t>
    </r>
    <r>
      <rPr>
        <sz val="10"/>
        <color rgb="FFFFFFFF"/>
        <rFont val="FreeSans"/>
        <family val="2"/>
      </rPr>
      <t xml:space="preserve">مضاعف </t>
    </r>
    <r>
      <rPr>
        <sz val="10"/>
        <color rgb="FFFFFFFF"/>
        <rFont val="Calibri"/>
        <charset val="1"/>
      </rPr>
      <t xml:space="preserve">EBITDA </t>
    </r>
    <r>
      <rPr>
        <sz val="10"/>
        <color rgb="FFFFFFFF"/>
        <rFont val="FreeSans"/>
        <family val="2"/>
      </rPr>
      <t>الضمني</t>
    </r>
  </si>
  <si>
    <r>
      <rPr>
        <b/>
        <sz val="13"/>
        <color rgb="FFC9A84C"/>
        <rFont val="Calibri"/>
        <charset val="1"/>
      </rPr>
      <t xml:space="preserve">  INVESTOR RETURNS &amp; IRR ANALYSIS  |  </t>
    </r>
    <r>
      <rPr>
        <b/>
        <sz val="13"/>
        <color rgb="FFC9A84C"/>
        <rFont val="FreeSans"/>
        <family val="2"/>
      </rPr>
      <t>عوائد المستثمر وتحليل معدل العائد الداخلي</t>
    </r>
  </si>
  <si>
    <r>
      <rPr>
        <b/>
        <sz val="10"/>
        <color rgb="FFFFFFFF"/>
        <rFont val="Calibri"/>
        <charset val="1"/>
      </rPr>
      <t xml:space="preserve">Metric | </t>
    </r>
    <r>
      <rPr>
        <b/>
        <sz val="10"/>
        <color rgb="FFFFFFFF"/>
        <rFont val="FreeSans"/>
        <family val="2"/>
      </rPr>
      <t>المقياس</t>
    </r>
  </si>
  <si>
    <r>
      <rPr>
        <b/>
        <sz val="10"/>
        <color rgb="FFF0D080"/>
        <rFont val="Calibri"/>
        <charset val="1"/>
      </rPr>
      <t xml:space="preserve">  PROJECT CASH FLOWS FOR IRR  |  </t>
    </r>
    <r>
      <rPr>
        <b/>
        <sz val="10"/>
        <color rgb="FFF0D080"/>
        <rFont val="FreeSans"/>
        <family val="2"/>
      </rPr>
      <t>التدفقات النقدية لمعدل العائد الداخلي</t>
    </r>
  </si>
  <si>
    <t>Year 0 (Investment)</t>
  </si>
  <si>
    <r>
      <rPr>
        <b/>
        <sz val="10"/>
        <color rgb="FFC9A84C"/>
        <rFont val="Calibri"/>
        <charset val="1"/>
      </rPr>
      <t xml:space="preserve">  RETURN METRICS  |  </t>
    </r>
    <r>
      <rPr>
        <b/>
        <sz val="10"/>
        <color rgb="FFC9A84C"/>
        <rFont val="FreeSans"/>
        <family val="2"/>
      </rPr>
      <t>مقاييس العائد</t>
    </r>
  </si>
  <si>
    <r>
      <rPr>
        <b/>
        <sz val="11"/>
        <color rgb="FFC9A84C"/>
        <rFont val="Calibri"/>
        <charset val="1"/>
      </rPr>
      <t xml:space="preserve">IRR (Project) | </t>
    </r>
    <r>
      <rPr>
        <b/>
        <sz val="11"/>
        <color rgb="FFC9A84C"/>
        <rFont val="FreeSans"/>
        <family val="2"/>
      </rPr>
      <t>معدل العائد الداخلي</t>
    </r>
  </si>
  <si>
    <r>
      <rPr>
        <sz val="10"/>
        <color rgb="FF000000"/>
        <rFont val="Calibri"/>
        <charset val="1"/>
      </rPr>
      <t xml:space="preserve">NPV @ WACC | </t>
    </r>
    <r>
      <rPr>
        <sz val="10"/>
        <color rgb="FF000000"/>
        <rFont val="FreeSans"/>
        <family val="2"/>
      </rPr>
      <t>صافي القيمة الحالية</t>
    </r>
  </si>
  <si>
    <r>
      <rPr>
        <sz val="10"/>
        <color rgb="FF000000"/>
        <rFont val="Calibri"/>
        <charset val="1"/>
      </rPr>
      <t xml:space="preserve">Total Cash In | </t>
    </r>
    <r>
      <rPr>
        <sz val="10"/>
        <color rgb="FF000000"/>
        <rFont val="FreeSans"/>
        <family val="2"/>
      </rPr>
      <t>إجمالي التدفقات الداخلة</t>
    </r>
  </si>
  <si>
    <r>
      <rPr>
        <sz val="10"/>
        <color rgb="FF000000"/>
        <rFont val="Calibri"/>
        <charset val="1"/>
      </rPr>
      <t xml:space="preserve">Total Investment | </t>
    </r>
    <r>
      <rPr>
        <sz val="10"/>
        <color rgb="FF000000"/>
        <rFont val="FreeSans"/>
        <family val="2"/>
      </rPr>
      <t>إجمالي الاستثمار</t>
    </r>
  </si>
  <si>
    <r>
      <rPr>
        <b/>
        <sz val="11"/>
        <color rgb="FFC9A84C"/>
        <rFont val="Calibri"/>
        <charset val="1"/>
      </rPr>
      <t xml:space="preserve">MOIC | </t>
    </r>
    <r>
      <rPr>
        <b/>
        <sz val="11"/>
        <color rgb="FFC9A84C"/>
        <rFont val="FreeSans"/>
        <family val="2"/>
      </rPr>
      <t>مضاعف المال المستثمر</t>
    </r>
  </si>
  <si>
    <r>
      <rPr>
        <sz val="10"/>
        <color rgb="FF000000"/>
        <rFont val="Calibri"/>
        <charset val="1"/>
      </rPr>
      <t xml:space="preserve">Payback Period (months) | </t>
    </r>
    <r>
      <rPr>
        <sz val="10"/>
        <color rgb="FF000000"/>
        <rFont val="FreeSans"/>
        <family val="2"/>
      </rPr>
      <t>فترة الاسترداد</t>
    </r>
  </si>
  <si>
    <r>
      <rPr>
        <sz val="10"/>
        <color rgb="FF000000"/>
        <rFont val="Calibri"/>
        <charset val="1"/>
      </rPr>
      <t xml:space="preserve">ROI (5-Year) | </t>
    </r>
    <r>
      <rPr>
        <sz val="10"/>
        <color rgb="FF000000"/>
        <rFont val="FreeSans"/>
        <family val="2"/>
      </rPr>
      <t>العائد على الاستثمار</t>
    </r>
  </si>
  <si>
    <r>
      <rPr>
        <b/>
        <sz val="10"/>
        <color rgb="FFF0D080"/>
        <rFont val="Calibri"/>
        <charset val="1"/>
      </rPr>
      <t xml:space="preserve">  INVESTOR OWNERSHIP &amp; EXIT PROCEEDS  |  </t>
    </r>
    <r>
      <rPr>
        <b/>
        <sz val="10"/>
        <color rgb="FFF0D080"/>
        <rFont val="FreeSans"/>
        <family val="2"/>
      </rPr>
      <t>ملكية المستثمر وعوائد الخروج</t>
    </r>
  </si>
  <si>
    <r>
      <rPr>
        <sz val="10"/>
        <color rgb="FF000000"/>
        <rFont val="Calibri"/>
        <charset val="1"/>
      </rPr>
      <t xml:space="preserve">Investor Equity Stake | </t>
    </r>
    <r>
      <rPr>
        <sz val="10"/>
        <color rgb="FF000000"/>
        <rFont val="FreeSans"/>
        <family val="2"/>
      </rPr>
      <t>حصة المستثمر</t>
    </r>
  </si>
  <si>
    <r>
      <rPr>
        <sz val="10"/>
        <color rgb="FF000000"/>
        <rFont val="Calibri"/>
        <charset val="1"/>
      </rPr>
      <t xml:space="preserve">Founder Equity Stake | </t>
    </r>
    <r>
      <rPr>
        <sz val="10"/>
        <color rgb="FF000000"/>
        <rFont val="FreeSans"/>
        <family val="2"/>
      </rPr>
      <t>حصة المؤسس</t>
    </r>
  </si>
  <si>
    <r>
      <rPr>
        <b/>
        <sz val="13"/>
        <color rgb="FFC9A84C"/>
        <rFont val="Calibri"/>
        <charset val="1"/>
      </rPr>
      <t xml:space="preserve">  SENSITIVITY ANALYSIS  |  </t>
    </r>
    <r>
      <rPr>
        <b/>
        <sz val="13"/>
        <color rgb="FFC9A84C"/>
        <rFont val="FreeSans"/>
        <family val="2"/>
      </rPr>
      <t>تحليل الحساسية</t>
    </r>
  </si>
  <si>
    <r>
      <rPr>
        <b/>
        <sz val="10"/>
        <color rgb="FFF0D080"/>
        <rFont val="Calibri"/>
        <charset val="1"/>
      </rPr>
      <t xml:space="preserve">  TABLE 1: Enterprise Value Sensitivity — WACC vs Terminal Growth Rate  |  </t>
    </r>
    <r>
      <rPr>
        <b/>
        <sz val="10"/>
        <color rgb="FFF0D080"/>
        <rFont val="FreeSans"/>
        <family val="2"/>
      </rPr>
      <t>قيمة المنشأة</t>
    </r>
  </si>
  <si>
    <t>WACC ↓ / TGR →</t>
  </si>
  <si>
    <t>1%</t>
  </si>
  <si>
    <t>2%</t>
  </si>
  <si>
    <t>3%</t>
  </si>
  <si>
    <t>4%</t>
  </si>
  <si>
    <t>5%</t>
  </si>
  <si>
    <t>12%</t>
  </si>
  <si>
    <t>14%</t>
  </si>
  <si>
    <t>16%</t>
  </si>
  <si>
    <t>18%</t>
  </si>
  <si>
    <t>22%</t>
  </si>
  <si>
    <t>24%</t>
  </si>
  <si>
    <r>
      <rPr>
        <b/>
        <sz val="10"/>
        <color rgb="FFF0D080"/>
        <rFont val="Calibri"/>
        <charset val="1"/>
      </rPr>
      <t xml:space="preserve">  TABLE 2: EBITDA Sensitivity — Monthly Units vs Gross Margin %  |  </t>
    </r>
    <r>
      <rPr>
        <b/>
        <sz val="10"/>
        <color rgb="FFF0D080"/>
        <rFont val="FreeSans"/>
        <family val="2"/>
      </rPr>
      <t xml:space="preserve">حساسية </t>
    </r>
    <r>
      <rPr>
        <b/>
        <sz val="10"/>
        <color rgb="FFF0D080"/>
        <rFont val="Calibri"/>
        <charset val="1"/>
      </rPr>
      <t>EBITDA</t>
    </r>
  </si>
  <si>
    <t>Units/Mo ↓ / GM% →</t>
  </si>
  <si>
    <t>35%</t>
  </si>
  <si>
    <t>40%</t>
  </si>
  <si>
    <t>45%</t>
  </si>
  <si>
    <t>50%</t>
  </si>
  <si>
    <t>55%</t>
  </si>
  <si>
    <t>60%</t>
  </si>
  <si>
    <t>5</t>
  </si>
  <si>
    <t>6</t>
  </si>
  <si>
    <t>7</t>
  </si>
  <si>
    <t>8</t>
  </si>
  <si>
    <t>9</t>
  </si>
  <si>
    <t>10</t>
  </si>
  <si>
    <t>12</t>
  </si>
  <si>
    <r>
      <rPr>
        <b/>
        <sz val="10"/>
        <color rgb="FFF0D080"/>
        <rFont val="Calibri"/>
        <charset val="1"/>
      </rPr>
      <t xml:space="preserve">  TABLE 3: FX Rate Sensitivity (LYD per USD) — Monthly Revenue Impact  |  </t>
    </r>
    <r>
      <rPr>
        <b/>
        <sz val="10"/>
        <color rgb="FFF0D080"/>
        <rFont val="FreeSans"/>
        <family val="2"/>
      </rPr>
      <t>حساسية سعر الصرف</t>
    </r>
  </si>
  <si>
    <t>FX (LYD/USD) ↓ / Rev ($) →</t>
  </si>
  <si>
    <t>$60,000</t>
  </si>
  <si>
    <t>$70,000</t>
  </si>
  <si>
    <t>$80,000</t>
  </si>
  <si>
    <t>$90,000</t>
  </si>
  <si>
    <t>3.50</t>
  </si>
  <si>
    <t>4.00</t>
  </si>
  <si>
    <t>4.50</t>
  </si>
  <si>
    <t>4.85</t>
  </si>
  <si>
    <t>5.20</t>
  </si>
  <si>
    <t>5.50</t>
  </si>
  <si>
    <t>6.00</t>
  </si>
  <si>
    <r>
      <rPr>
        <b/>
        <sz val="13"/>
        <color rgb="FFC9A84C"/>
        <rFont val="Calibri"/>
        <charset val="1"/>
      </rPr>
      <t xml:space="preserve">  BREAK-EVEN ANALYSIS  |  </t>
    </r>
    <r>
      <rPr>
        <b/>
        <sz val="13"/>
        <color rgb="FFC9A84C"/>
        <rFont val="FreeSans"/>
        <family val="2"/>
      </rPr>
      <t>تحليل نقطة التعادل</t>
    </r>
  </si>
  <si>
    <r>
      <rPr>
        <b/>
        <sz val="10"/>
        <color rgb="FFF0D080"/>
        <rFont val="Calibri"/>
        <charset val="1"/>
      </rPr>
      <t xml:space="preserve">  INPUTS | </t>
    </r>
    <r>
      <rPr>
        <b/>
        <sz val="10"/>
        <color rgb="FFF0D080"/>
        <rFont val="FreeSans"/>
        <family val="2"/>
      </rPr>
      <t>المدخلات</t>
    </r>
  </si>
  <si>
    <r>
      <rPr>
        <sz val="10"/>
        <color rgb="FF000000"/>
        <rFont val="Calibri"/>
        <charset val="1"/>
      </rPr>
      <t xml:space="preserve">Average Selling Price/Unit (LYD) | </t>
    </r>
    <r>
      <rPr>
        <sz val="10"/>
        <color rgb="FF000000"/>
        <rFont val="FreeSans"/>
        <family val="2"/>
      </rPr>
      <t>متوسط سعر البيع</t>
    </r>
  </si>
  <si>
    <r>
      <rPr>
        <sz val="10"/>
        <color rgb="FF000000"/>
        <rFont val="Calibri"/>
        <charset val="1"/>
      </rPr>
      <t xml:space="preserve">Variable Cost/Unit (LYD) | </t>
    </r>
    <r>
      <rPr>
        <sz val="10"/>
        <color rgb="FF000000"/>
        <rFont val="FreeSans"/>
        <family val="2"/>
      </rPr>
      <t>التكلفة المتغيرة للوحدة</t>
    </r>
  </si>
  <si>
    <r>
      <rPr>
        <sz val="10"/>
        <color rgb="FF000000"/>
        <rFont val="Calibri"/>
        <charset val="1"/>
      </rPr>
      <t xml:space="preserve">Monthly Fixed Costs (LYD) | </t>
    </r>
    <r>
      <rPr>
        <sz val="10"/>
        <color rgb="FF000000"/>
        <rFont val="FreeSans"/>
        <family val="2"/>
      </rPr>
      <t>التكاليف الثابتة الشهرية</t>
    </r>
  </si>
  <si>
    <r>
      <rPr>
        <sz val="10"/>
        <color rgb="FF000000"/>
        <rFont val="Calibri"/>
        <charset val="1"/>
      </rPr>
      <t xml:space="preserve">Annual Fixed Costs (LYD) | </t>
    </r>
    <r>
      <rPr>
        <sz val="10"/>
        <color rgb="FF000000"/>
        <rFont val="FreeSans"/>
        <family val="2"/>
      </rPr>
      <t>التكاليف الثابتة السنوية</t>
    </r>
  </si>
  <si>
    <r>
      <rPr>
        <b/>
        <sz val="10"/>
        <color rgb="FFC9A84C"/>
        <rFont val="Calibri"/>
        <charset val="1"/>
      </rPr>
      <t xml:space="preserve">  BREAK-EVEN CALCULATIONS  |  </t>
    </r>
    <r>
      <rPr>
        <b/>
        <sz val="10"/>
        <color rgb="FFC9A84C"/>
        <rFont val="FreeSans"/>
        <family val="2"/>
      </rPr>
      <t>حسابات نقطة التعادل</t>
    </r>
  </si>
  <si>
    <r>
      <rPr>
        <sz val="10"/>
        <color rgb="FF000000"/>
        <rFont val="Calibri"/>
        <charset val="1"/>
      </rPr>
      <t xml:space="preserve">Contribution Margin/Unit | </t>
    </r>
    <r>
      <rPr>
        <sz val="10"/>
        <color rgb="FF000000"/>
        <rFont val="FreeSans"/>
        <family val="2"/>
      </rPr>
      <t>هامش المساهمة للوحدة</t>
    </r>
  </si>
  <si>
    <r>
      <rPr>
        <sz val="10"/>
        <color rgb="FF000000"/>
        <rFont val="Calibri"/>
        <charset val="1"/>
      </rPr>
      <t xml:space="preserve">Contribution Margin Ratio % | </t>
    </r>
    <r>
      <rPr>
        <sz val="10"/>
        <color rgb="FF000000"/>
        <rFont val="FreeSans"/>
        <family val="2"/>
      </rPr>
      <t>نسبة هامش المساهمة</t>
    </r>
  </si>
  <si>
    <r>
      <rPr>
        <sz val="10"/>
        <color rgb="FF000000"/>
        <rFont val="Calibri"/>
        <charset val="1"/>
      </rPr>
      <t xml:space="preserve">Monthly Break-Even Units | </t>
    </r>
    <r>
      <rPr>
        <sz val="10"/>
        <color rgb="FF000000"/>
        <rFont val="FreeSans"/>
        <family val="2"/>
      </rPr>
      <t>وحدات نقطة التعادل الشهرية</t>
    </r>
  </si>
  <si>
    <r>
      <rPr>
        <b/>
        <sz val="10"/>
        <color rgb="FFC9A84C"/>
        <rFont val="Calibri"/>
        <charset val="1"/>
      </rPr>
      <t xml:space="preserve">Monthly Break-Even Revenue (LYD) | </t>
    </r>
    <r>
      <rPr>
        <b/>
        <sz val="10"/>
        <color rgb="FFC9A84C"/>
        <rFont val="FreeSans"/>
        <family val="2"/>
      </rPr>
      <t>إيرادات نقطة التعادل الشهرية</t>
    </r>
  </si>
  <si>
    <r>
      <rPr>
        <sz val="10"/>
        <color rgb="FF000000"/>
        <rFont val="Calibri"/>
        <charset val="1"/>
      </rPr>
      <t xml:space="preserve">Annual Break-Even Units | </t>
    </r>
    <r>
      <rPr>
        <sz val="10"/>
        <color rgb="FF000000"/>
        <rFont val="FreeSans"/>
        <family val="2"/>
      </rPr>
      <t>وحدات نقطة التعادل السنوية</t>
    </r>
  </si>
  <si>
    <r>
      <rPr>
        <b/>
        <sz val="10"/>
        <color rgb="FFC9A84C"/>
        <rFont val="Calibri"/>
        <charset val="1"/>
      </rPr>
      <t xml:space="preserve">Annual Break-Even Revenue (LYD) | </t>
    </r>
    <r>
      <rPr>
        <b/>
        <sz val="10"/>
        <color rgb="FFC9A84C"/>
        <rFont val="FreeSans"/>
        <family val="2"/>
      </rPr>
      <t>إيرادات نقطة التعادل السنوية</t>
    </r>
  </si>
  <si>
    <r>
      <rPr>
        <sz val="10"/>
        <color rgb="FF000000"/>
        <rFont val="Calibri"/>
        <charset val="1"/>
      </rPr>
      <t xml:space="preserve">Current Monthly Production (Y1) | </t>
    </r>
    <r>
      <rPr>
        <sz val="10"/>
        <color rgb="FF000000"/>
        <rFont val="FreeSans"/>
        <family val="2"/>
      </rPr>
      <t>الإنتاج الشهري الحالي</t>
    </r>
  </si>
  <si>
    <r>
      <rPr>
        <sz val="10"/>
        <color rgb="FF000000"/>
        <rFont val="Calibri"/>
        <charset val="1"/>
      </rPr>
      <t xml:space="preserve">Margin of Safety (Units) | </t>
    </r>
    <r>
      <rPr>
        <sz val="10"/>
        <color rgb="FF000000"/>
        <rFont val="FreeSans"/>
        <family val="2"/>
      </rPr>
      <t xml:space="preserve">هامش الأمان </t>
    </r>
    <r>
      <rPr>
        <sz val="10"/>
        <color rgb="FF000000"/>
        <rFont val="Calibri"/>
        <charset val="1"/>
      </rPr>
      <t>(</t>
    </r>
    <r>
      <rPr>
        <sz val="10"/>
        <color rgb="FF000000"/>
        <rFont val="FreeSans"/>
        <family val="2"/>
      </rPr>
      <t>وحدات</t>
    </r>
    <r>
      <rPr>
        <sz val="10"/>
        <color rgb="FF000000"/>
        <rFont val="Calibri"/>
        <charset val="1"/>
      </rPr>
      <t>)</t>
    </r>
  </si>
  <si>
    <r>
      <rPr>
        <sz val="10"/>
        <color rgb="FF000000"/>
        <rFont val="Calibri"/>
        <charset val="1"/>
      </rPr>
      <t xml:space="preserve">Margin of Safety % | </t>
    </r>
    <r>
      <rPr>
        <sz val="10"/>
        <color rgb="FF000000"/>
        <rFont val="FreeSans"/>
        <family val="2"/>
      </rPr>
      <t xml:space="preserve">هامش الأمان </t>
    </r>
    <r>
      <rPr>
        <sz val="10"/>
        <color rgb="FF000000"/>
        <rFont val="Calibri"/>
        <charset val="1"/>
      </rPr>
      <t>%</t>
    </r>
  </si>
  <si>
    <r>
      <rPr>
        <b/>
        <sz val="10"/>
        <color rgb="FFF0D080"/>
        <rFont val="Calibri"/>
        <charset val="1"/>
      </rPr>
      <t xml:space="preserve">  VOLUME SENSITIVITY TABLE  |  </t>
    </r>
    <r>
      <rPr>
        <b/>
        <sz val="10"/>
        <color rgb="FFF0D080"/>
        <rFont val="FreeSans"/>
        <family val="2"/>
      </rPr>
      <t>جدول حساسية الحجم</t>
    </r>
  </si>
  <si>
    <t>Monthly Units</t>
  </si>
  <si>
    <t>Revenue (LYD)</t>
  </si>
  <si>
    <t>Variable Costs</t>
  </si>
  <si>
    <t>Contribution Margin</t>
  </si>
  <si>
    <r>
      <rPr>
        <b/>
        <sz val="16"/>
        <color rgb="FFC9A84C"/>
        <rFont val="Calibri"/>
        <charset val="1"/>
      </rPr>
      <t xml:space="preserve">  ROYAL MARINE SHIPBUILDING &amp; SERVICES  |  </t>
    </r>
    <r>
      <rPr>
        <b/>
        <sz val="16"/>
        <color rgb="FFC9A84C"/>
        <rFont val="FreeSans"/>
        <family val="2"/>
      </rPr>
      <t>لوحة المستثمر</t>
    </r>
  </si>
  <si>
    <r>
      <rPr>
        <sz val="8"/>
        <color rgb="FF8A95A3"/>
        <rFont val="Calibri"/>
        <charset val="1"/>
      </rPr>
      <t xml:space="preserve">MONTHLY REVENUE
</t>
    </r>
    <r>
      <rPr>
        <sz val="8"/>
        <color rgb="FF8A95A3"/>
        <rFont val="FreeSans"/>
        <family val="2"/>
      </rPr>
      <t>الإيرادات الشهرية</t>
    </r>
  </si>
  <si>
    <r>
      <rPr>
        <sz val="8"/>
        <color rgb="FF8A95A3"/>
        <rFont val="Calibri"/>
        <charset val="1"/>
      </rPr>
      <t xml:space="preserve">ANNUAL EBITDA
EBITDA </t>
    </r>
    <r>
      <rPr>
        <sz val="8"/>
        <color rgb="FF8A95A3"/>
        <rFont val="FreeSans"/>
        <family val="2"/>
      </rPr>
      <t>سنوي</t>
    </r>
  </si>
  <si>
    <r>
      <rPr>
        <sz val="8"/>
        <color rgb="FF8A95A3"/>
        <rFont val="Calibri"/>
        <charset val="1"/>
      </rPr>
      <t xml:space="preserve">NET MARGIN
</t>
    </r>
    <r>
      <rPr>
        <sz val="8"/>
        <color rgb="FF8A95A3"/>
        <rFont val="FreeSans"/>
        <family val="2"/>
      </rPr>
      <t>هامش صافي الربح</t>
    </r>
  </si>
  <si>
    <r>
      <rPr>
        <sz val="8"/>
        <color rgb="FF8A95A3"/>
        <rFont val="Calibri"/>
        <charset val="1"/>
      </rPr>
      <t xml:space="preserve">5-YEAR IRR
</t>
    </r>
    <r>
      <rPr>
        <sz val="8"/>
        <color rgb="FF8A95A3"/>
        <rFont val="FreeSans"/>
        <family val="2"/>
      </rPr>
      <t>معدل العائد الداخلي</t>
    </r>
  </si>
  <si>
    <r>
      <rPr>
        <sz val="8"/>
        <color rgb="FF8A95A3"/>
        <rFont val="Calibri"/>
        <charset val="1"/>
      </rPr>
      <t xml:space="preserve">INVESTOR EQUITY
</t>
    </r>
    <r>
      <rPr>
        <sz val="8"/>
        <color rgb="FF8A95A3"/>
        <rFont val="FreeSans"/>
        <family val="2"/>
      </rPr>
      <t>حصة المستثمر</t>
    </r>
  </si>
  <si>
    <r>
      <rPr>
        <sz val="8"/>
        <color rgb="FF8A95A3"/>
        <rFont val="Calibri"/>
        <charset val="1"/>
      </rPr>
      <t xml:space="preserve">PAYBACK PERIOD
</t>
    </r>
    <r>
      <rPr>
        <sz val="8"/>
        <color rgb="FF8A95A3"/>
        <rFont val="FreeSans"/>
        <family val="2"/>
      </rPr>
      <t>فترة الاسترداد</t>
    </r>
  </si>
  <si>
    <r>
      <rPr>
        <sz val="8"/>
        <color rgb="FF8A95A3"/>
        <rFont val="Calibri"/>
        <charset val="1"/>
      </rPr>
      <t xml:space="preserve">TOTAL CAPEX
</t>
    </r>
    <r>
      <rPr>
        <sz val="8"/>
        <color rgb="FF8A95A3"/>
        <rFont val="FreeSans"/>
        <family val="2"/>
      </rPr>
      <t>إجمالي الكابكس</t>
    </r>
  </si>
  <si>
    <t>LYD 380,000</t>
  </si>
  <si>
    <t>LYD 2.74M</t>
  </si>
  <si>
    <t>40.0%</t>
  </si>
  <si>
    <t>~37% p.a.</t>
  </si>
  <si>
    <t>LYD 1.11M</t>
  </si>
  <si>
    <t>Base Case Y1</t>
  </si>
  <si>
    <t>Year 1 Estimate</t>
  </si>
  <si>
    <t>Year 1 Base</t>
  </si>
  <si>
    <t>Project IRR</t>
  </si>
  <si>
    <t>Issued Stake</t>
  </si>
  <si>
    <t>Benghazi Strat.</t>
  </si>
  <si>
    <r>
      <rPr>
        <b/>
        <sz val="10"/>
        <color rgb="FFC9A84C"/>
        <rFont val="Calibri"/>
        <charset val="1"/>
      </rPr>
      <t xml:space="preserve">  SCENARIO COMPARISON  |  </t>
    </r>
    <r>
      <rPr>
        <b/>
        <sz val="10"/>
        <color rgb="FFC9A84C"/>
        <rFont val="FreeSans"/>
        <family val="2"/>
      </rPr>
      <t>مقارنة السيناريوهات</t>
    </r>
  </si>
  <si>
    <r>
      <rPr>
        <b/>
        <sz val="10"/>
        <color rgb="FFC9A84C"/>
        <rFont val="Calibri"/>
        <charset val="1"/>
      </rPr>
      <t xml:space="preserve">  INVESTMENT HIGHLIGHTS  |  </t>
    </r>
    <r>
      <rPr>
        <b/>
        <sz val="10"/>
        <color rgb="FFC9A84C"/>
        <rFont val="FreeSans"/>
        <family val="2"/>
      </rPr>
      <t>مزايا الاستثمار</t>
    </r>
  </si>
  <si>
    <t>Metric</t>
  </si>
  <si>
    <t>✓</t>
  </si>
  <si>
    <t>Marine manufacturing monopoly in Libya – limited competition</t>
  </si>
  <si>
    <t>Revenue (M LYD)</t>
  </si>
  <si>
    <t>Government contracts potential (patrol boats, Coast Guard)</t>
  </si>
  <si>
    <t>EBITDA (M LYD)</t>
  </si>
  <si>
    <t>Import substitution play – Libya imports 90%+ of marine vessels</t>
  </si>
  <si>
    <t>EBITDA Margin %</t>
  </si>
  <si>
    <t>Benghazi-first low-risk entry strategy with Sirte expansion</t>
  </si>
  <si>
    <t>Net Income (M LYD)</t>
  </si>
  <si>
    <t>High gross margins (50-60%) on fiberglass boats</t>
  </si>
  <si>
    <t>Net Margin %</t>
  </si>
  <si>
    <t>Scalable from 7 → 20+ boats/month by Year 5</t>
  </si>
  <si>
    <t>FCF (M LYD)</t>
  </si>
  <si>
    <t>Experienced team with marine manufacturing expertise</t>
  </si>
  <si>
    <t>Units Produced</t>
  </si>
  <si>
    <t>Multiple revenue streams: sales + after-sales + services</t>
  </si>
  <si>
    <t>37%+ IRR with 30-month payback on Benghazi scenario</t>
  </si>
  <si>
    <t>20% equity offered to strategic investor(s)</t>
  </si>
  <si>
    <t>Clear exit via trade sale or domestic IPO in 4-5 years</t>
  </si>
  <si>
    <t>Libya maritime sector growth driven by oil sector recovery</t>
  </si>
  <si>
    <r>
      <rPr>
        <b/>
        <sz val="10"/>
        <color rgb="FFC9A84C"/>
        <rFont val="Calibri"/>
        <charset val="1"/>
      </rPr>
      <t xml:space="preserve">  VALUATION SUMMARY  |  </t>
    </r>
    <r>
      <rPr>
        <b/>
        <sz val="10"/>
        <color rgb="FFC9A84C"/>
        <rFont val="FreeSans"/>
        <family val="2"/>
      </rPr>
      <t>ملخص التقييم</t>
    </r>
  </si>
  <si>
    <r>
      <rPr>
        <b/>
        <sz val="10"/>
        <color rgb="FFC9A84C"/>
        <rFont val="Calibri"/>
        <charset val="1"/>
      </rPr>
      <t xml:space="preserve">  PRODUCTION &amp; CAPACITY METRICS  |  </t>
    </r>
    <r>
      <rPr>
        <b/>
        <sz val="10"/>
        <color rgb="FFC9A84C"/>
        <rFont val="FreeSans"/>
        <family val="2"/>
      </rPr>
      <t>مقاييس الإنتاج</t>
    </r>
  </si>
  <si>
    <t>Enterprise Value (EV)</t>
  </si>
  <si>
    <t>LYD 12–18M</t>
  </si>
  <si>
    <t>Current Capacity (Y1)</t>
  </si>
  <si>
    <t>7 boats/month</t>
  </si>
  <si>
    <t>Equity Value</t>
  </si>
  <si>
    <t>LYD 11–17M</t>
  </si>
  <si>
    <t>Y5 Target Capacity</t>
  </si>
  <si>
    <t>20+ boats/month</t>
  </si>
  <si>
    <t>Investor Share (20%)</t>
  </si>
  <si>
    <t>LYD 2.2–3.4M</t>
  </si>
  <si>
    <t>Initial Utilization</t>
  </si>
  <si>
    <t>75% of capacity</t>
  </si>
  <si>
    <t>EV/EBITDA Multiple</t>
  </si>
  <si>
    <t>5.0–7.0x</t>
  </si>
  <si>
    <t>Boat Types (Y1)</t>
  </si>
  <si>
    <t>Type A (5m) + Type B (8m)</t>
  </si>
  <si>
    <t>EV/Revenue Multiple</t>
  </si>
  <si>
    <t>1.3–1.8x</t>
  </si>
  <si>
    <t>Future Types (Y3+)</t>
  </si>
  <si>
    <t>Patrol / Speed / Rescue Boats</t>
  </si>
  <si>
    <t>NPV @ 18% WACC</t>
  </si>
  <si>
    <t>LYD 4.2M+</t>
  </si>
  <si>
    <t>Factory Location</t>
  </si>
  <si>
    <t>Benghazi (Phase 1) → Sirte (Phase 2)</t>
  </si>
  <si>
    <t>Production Model</t>
  </si>
  <si>
    <t>Made-to-order + stock inventory</t>
  </si>
  <si>
    <t>Quality Standard</t>
  </si>
  <si>
    <t>Marine-grade fiberglass construction</t>
  </si>
  <si>
    <r>
      <rPr>
        <b/>
        <sz val="10"/>
        <color rgb="FF8A95A3"/>
        <rFont val="Calibri"/>
        <charset val="1"/>
      </rPr>
      <t xml:space="preserve">INVESTOR SUMMARY  |  </t>
    </r>
    <r>
      <rPr>
        <b/>
        <sz val="10"/>
        <color rgb="FF8A95A3"/>
        <rFont val="FreeSans"/>
        <family val="2"/>
      </rPr>
      <t xml:space="preserve">ملخص المستثمر  </t>
    </r>
    <r>
      <rPr>
        <b/>
        <sz val="10"/>
        <color rgb="FF8A95A3"/>
        <rFont val="Calibri"/>
        <charset val="1"/>
      </rPr>
      <t>|  Confidential</t>
    </r>
  </si>
  <si>
    <r>
      <rPr>
        <b/>
        <sz val="11"/>
        <color rgb="FFC9A84C"/>
        <rFont val="Calibri"/>
        <charset val="1"/>
      </rPr>
      <t xml:space="preserve">BUSINESS OVERVIEW  |  </t>
    </r>
    <r>
      <rPr>
        <b/>
        <sz val="11"/>
        <color rgb="FFC9A84C"/>
        <rFont val="FreeSans"/>
        <family val="2"/>
      </rPr>
      <t>نظرة عامة على الأعمال</t>
    </r>
  </si>
  <si>
    <t>Royal Marine Shipbuilding &amp; Services is a Libyan marine manufacturing company specializing in fiberglass fishing boats, patrol vessels, and recreational craft. The company targets the significant import-substitution opportunity in Libya's underserved marine sector.</t>
  </si>
  <si>
    <r>
      <rPr>
        <b/>
        <sz val="10"/>
        <color rgb="FFC9A84C"/>
        <rFont val="Calibri"/>
        <charset val="1"/>
      </rPr>
      <t xml:space="preserve">FINANCIAL HIGHLIGHTS  |  </t>
    </r>
    <r>
      <rPr>
        <b/>
        <sz val="10"/>
        <color rgb="FFC9A84C"/>
        <rFont val="FreeSans"/>
        <family val="2"/>
      </rPr>
      <t>مؤشرات مالية</t>
    </r>
  </si>
  <si>
    <r>
      <rPr>
        <b/>
        <sz val="10"/>
        <color rgb="FFC9A84C"/>
        <rFont val="Calibri"/>
        <charset val="1"/>
      </rPr>
      <t xml:space="preserve">INVESTMENT TERMS  |  </t>
    </r>
    <r>
      <rPr>
        <b/>
        <sz val="10"/>
        <color rgb="FFC9A84C"/>
        <rFont val="FreeSans"/>
        <family val="2"/>
      </rPr>
      <t>شروط الاستثمار</t>
    </r>
  </si>
  <si>
    <t>Initial Monthly Revenue</t>
  </si>
  <si>
    <t>Total Investment Required</t>
  </si>
  <si>
    <t>LYD 1,113,000</t>
  </si>
  <si>
    <t>Annual Revenue (Y1)</t>
  </si>
  <si>
    <t>LYD 4.56M</t>
  </si>
  <si>
    <t>Investment Structure</t>
  </si>
  <si>
    <t>Equity Stake</t>
  </si>
  <si>
    <t>Annual EBITDA (Y1)</t>
  </si>
  <si>
    <t>LYD 2.74M (~60%)</t>
  </si>
  <si>
    <t>Investor Equity</t>
  </si>
  <si>
    <t>Annual Net Income (Y1)</t>
  </si>
  <si>
    <t>LYD 1.82M (~40%)</t>
  </si>
  <si>
    <t>Founder Equity</t>
  </si>
  <si>
    <t>80%</t>
  </si>
  <si>
    <t>5-Year Revenue CAGR</t>
  </si>
  <si>
    <t>~20% p.a.</t>
  </si>
  <si>
    <t>Pre-Money Valuation</t>
  </si>
  <si>
    <t>LYD 4.45M</t>
  </si>
  <si>
    <t>5-Year EBITDA CAGR</t>
  </si>
  <si>
    <t>~22% p.a.</t>
  </si>
  <si>
    <t>Post-Money Valuation</t>
  </si>
  <si>
    <t>LYD 5.56M</t>
  </si>
  <si>
    <t>Payback Period</t>
  </si>
  <si>
    <t>~30 months</t>
  </si>
  <si>
    <t>Target Exit Year</t>
  </si>
  <si>
    <t>Year 4–5</t>
  </si>
  <si>
    <t>Break-Even</t>
  </si>
  <si>
    <t>~4 boats/month</t>
  </si>
  <si>
    <t>Exit Strategy</t>
  </si>
  <si>
    <t>Trade sale / Strategic buyer</t>
  </si>
  <si>
    <r>
      <rPr>
        <b/>
        <sz val="10"/>
        <color rgb="FFC9A84C"/>
        <rFont val="Calibri"/>
        <charset val="1"/>
      </rPr>
      <t xml:space="preserve">PROJECTED INVESTOR RETURNS  |  </t>
    </r>
    <r>
      <rPr>
        <b/>
        <sz val="10"/>
        <color rgb="FFC9A84C"/>
        <rFont val="FreeSans"/>
        <family val="2"/>
      </rPr>
      <t>العوائد المتوقعة للمستثمر</t>
    </r>
  </si>
  <si>
    <t>IRR (Base Case)</t>
  </si>
  <si>
    <t>37%+ p.a.</t>
  </si>
  <si>
    <t>IRR (Bull Case)</t>
  </si>
  <si>
    <t>45%+ p.a.</t>
  </si>
  <si>
    <t>IRR (Bear Case)</t>
  </si>
  <si>
    <t>25%+ p.a.</t>
  </si>
  <si>
    <t>MOIC (Base Case)</t>
  </si>
  <si>
    <t>2.5x</t>
  </si>
  <si>
    <t>Investor Share of EV @ Exit</t>
  </si>
  <si>
    <t>LYD 2.7M–3.4M</t>
  </si>
  <si>
    <r>
      <rPr>
        <b/>
        <sz val="10"/>
        <color rgb="FFC9A84C"/>
        <rFont val="Calibri"/>
        <charset val="1"/>
      </rPr>
      <t xml:space="preserve">USE OF PROCEEDS  |  </t>
    </r>
    <r>
      <rPr>
        <b/>
        <sz val="10"/>
        <color rgb="FFC9A84C"/>
        <rFont val="FreeSans"/>
        <family val="2"/>
      </rPr>
      <t>توظيف العائدات</t>
    </r>
  </si>
  <si>
    <r>
      <rPr>
        <b/>
        <sz val="9"/>
        <color rgb="FFFFFFFF"/>
        <rFont val="Calibri"/>
        <charset val="1"/>
      </rPr>
      <t xml:space="preserve">Use of Funds | </t>
    </r>
    <r>
      <rPr>
        <b/>
        <sz val="9"/>
        <color rgb="FFFFFFFF"/>
        <rFont val="FreeSans"/>
        <family val="2"/>
      </rPr>
      <t>توظيف الأموال</t>
    </r>
  </si>
  <si>
    <r>
      <rPr>
        <b/>
        <sz val="9"/>
        <color rgb="FFFFFFFF"/>
        <rFont val="Calibri"/>
        <charset val="1"/>
      </rPr>
      <t xml:space="preserve">Amount | </t>
    </r>
    <r>
      <rPr>
        <b/>
        <sz val="9"/>
        <color rgb="FFFFFFFF"/>
        <rFont val="FreeSans"/>
        <family val="2"/>
      </rPr>
      <t>المبلغ</t>
    </r>
  </si>
  <si>
    <r>
      <rPr>
        <b/>
        <sz val="9"/>
        <color rgb="FFFFFFFF"/>
        <rFont val="Calibri"/>
        <charset val="1"/>
      </rPr>
      <t xml:space="preserve">% of Total | </t>
    </r>
    <r>
      <rPr>
        <b/>
        <sz val="9"/>
        <color rgb="FFFFFFFF"/>
        <rFont val="FreeSans"/>
        <family val="2"/>
      </rPr>
      <t>النسبة</t>
    </r>
  </si>
  <si>
    <t>Production Molds (Type A &amp; B)</t>
  </si>
  <si>
    <t>LYD 80,000</t>
  </si>
  <si>
    <t>7.2%</t>
  </si>
  <si>
    <t>Machinery &amp; Equipment</t>
  </si>
  <si>
    <t>LYD 230,000</t>
  </si>
  <si>
    <t>20.7%</t>
  </si>
  <si>
    <t>Vehicles &amp; Transport</t>
  </si>
  <si>
    <t>LYD 50,000</t>
  </si>
  <si>
    <t>4.5%</t>
  </si>
  <si>
    <t>Working Capital Reserve</t>
  </si>
  <si>
    <t>LYD 100,000</t>
  </si>
  <si>
    <t>9.0%</t>
  </si>
  <si>
    <t>Raw Materials Initial Stock</t>
  </si>
  <si>
    <t>Leasehold Improvements</t>
  </si>
  <si>
    <t>LYD 120,000</t>
  </si>
  <si>
    <t>10.8%</t>
  </si>
  <si>
    <t>Rent Deposit (12 mo)</t>
  </si>
  <si>
    <t>Operational Launch Costs</t>
  </si>
  <si>
    <t>LYD 333,000</t>
  </si>
  <si>
    <t>29.8%</t>
  </si>
  <si>
    <t>رويال مارين للبناء البحري والخدمات</t>
  </si>
  <si>
    <t xml:space="preserve">Model Date: 2026  |  Currency: Libyan Dinar (LYD) </t>
  </si>
  <si>
    <r>
      <t xml:space="preserve">CONFIDENTIAL — FOR AUTHORIZED INVESTORS ONLY | </t>
    </r>
    <r>
      <rPr>
        <b/>
        <sz val="8"/>
        <color rgb="FF8A95A3"/>
        <rFont val="FreeSans"/>
        <family val="2"/>
      </rPr>
      <t xml:space="preserve">سري — للمستثمرين المعتمدين </t>
    </r>
    <r>
      <rPr>
        <b/>
        <sz val="8"/>
        <color rgb="FF8A95A3"/>
        <rFont val="Calibri"/>
        <charset val="1"/>
      </rPr>
      <t>| © Royal Marine 2026</t>
    </r>
  </si>
  <si>
    <t>رويال مارين للبناء البحري والخدمات شركة ليبية متخصصة في تصنيع قوارب الصيد وسفن الدوريات والمراكب الترفيهية من الفيبرغلاس. تستهدف الشركة فرصة الاستبدال الاستيرادي في قطاع البحرية الليبي غير المخدوم.</t>
  </si>
  <si>
    <r>
      <t xml:space="preserve">CONFIDENTIAL — For Authorized Investors Only  |  </t>
    </r>
    <r>
      <rPr>
        <i/>
        <sz val="9"/>
        <color rgb="FF8A95A3"/>
        <rFont val="FreeSans"/>
        <family val="2"/>
      </rPr>
      <t xml:space="preserve">سري — للمستثمرين المعتمدين فقط  </t>
    </r>
    <r>
      <rPr>
        <i/>
        <sz val="9"/>
        <color rgb="FF8A95A3"/>
        <rFont val="Calibri"/>
        <charset val="1"/>
      </rPr>
      <t>|  Royal Marine Shipbuilding &amp; Services ©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</si>
</sst>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&quot;LYD &quot;#,##0"/>
    <numFmt numFmtId="166" formatCode="#,##0.0"/>
    <numFmt numFmtId="167" formatCode="0.0\x"/>
    <numFmt numFmtId="168" formatCode="0.000"/>
    <numFmt numFmtId="169" formatCode="0&quot; mo&quot;"/>
    <numFmt numFmtId="170" formatCode="0.0"/>
  </numFmts>
  <fonts count="106">
    <font>
      <sz val="11"/>
      <color theme="1"/>
      <name val="Calibri"/>
      <family val="2"/>
      <charset val="1"/>
    </font>
    <font>
      <b/>
      <sz val="36"/>
      <color rgb="FFC9A84C"/>
      <name val="Calibri"/>
      <charset val="1"/>
    </font>
    <font>
      <b/>
      <sz val="20"/>
      <color rgb="FFC9A84C"/>
      <name val="FreeSans"/>
      <family val="2"/>
      <charset val="1"/>
    </font>
    <font>
      <b/>
      <sz val="22"/>
      <color rgb="FFFFFFFF"/>
      <name val="Calibri"/>
      <charset val="1"/>
    </font>
    <font>
      <i/>
      <sz val="14"/>
      <color rgb="FFF0D080"/>
      <name val="Calibri"/>
      <charset val="1"/>
    </font>
    <font>
      <i/>
      <sz val="14"/>
      <color rgb="FFF0D080"/>
      <name val="FreeSans"/>
      <family val="2"/>
    </font>
    <font>
      <sz val="11"/>
      <color rgb="FFFFFFFF"/>
      <name val="Calibri"/>
      <charset val="1"/>
    </font>
    <font>
      <sz val="11"/>
      <color rgb="FFF0D080"/>
      <name val="FreeSans"/>
      <family val="2"/>
      <charset val="1"/>
    </font>
    <font>
      <b/>
      <sz val="12"/>
      <color rgb="FFC9A84C"/>
      <name val="Calibri"/>
      <charset val="1"/>
    </font>
    <font>
      <b/>
      <sz val="12"/>
      <color rgb="FFC9A84C"/>
      <name val="FreeSans"/>
      <family val="2"/>
    </font>
    <font>
      <sz val="9"/>
      <color rgb="FF8A95A3"/>
      <name val="Calibri"/>
      <charset val="1"/>
    </font>
    <font>
      <sz val="9"/>
      <color rgb="FF8A95A3"/>
      <name val="FreeSans"/>
      <family val="2"/>
    </font>
    <font>
      <b/>
      <sz val="16"/>
      <color rgb="FFC9A84C"/>
      <name val="Calibri"/>
      <charset val="1"/>
    </font>
    <font>
      <i/>
      <sz val="9"/>
      <color rgb="FF8A95A3"/>
      <name val="Calibri"/>
      <charset val="1"/>
    </font>
    <font>
      <i/>
      <sz val="9"/>
      <color rgb="FF8A95A3"/>
      <name val="FreeSans"/>
      <family val="2"/>
    </font>
    <font>
      <sz val="10"/>
      <color rgb="FFFFFFFF"/>
      <name val="Calibri"/>
      <charset val="1"/>
    </font>
    <font>
      <sz val="10"/>
      <color rgb="FFFFFFFF"/>
      <name val="FreeSans"/>
      <family val="2"/>
    </font>
    <font>
      <i/>
      <sz val="9"/>
      <color rgb="FFF0D080"/>
      <name val="Calibri"/>
      <charset val="1"/>
    </font>
    <font>
      <b/>
      <sz val="14"/>
      <color rgb="FFC9A84C"/>
      <name val="Calibri"/>
      <charset val="1"/>
    </font>
    <font>
      <b/>
      <sz val="14"/>
      <color rgb="FFC9A84C"/>
      <name val="FreeSans"/>
      <family val="2"/>
    </font>
    <font>
      <b/>
      <sz val="9"/>
      <color rgb="FFFFFFFF"/>
      <name val="Calibri"/>
      <charset val="1"/>
    </font>
    <font>
      <b/>
      <sz val="9"/>
      <color rgb="FFFFFFFF"/>
      <name val="FreeSans"/>
      <family val="2"/>
    </font>
    <font>
      <b/>
      <sz val="9"/>
      <color rgb="FFFFFFFF"/>
      <name val="FreeSans"/>
      <family val="2"/>
      <charset val="1"/>
    </font>
    <font>
      <b/>
      <sz val="9"/>
      <color rgb="FFC9A84C"/>
      <name val="Calibri"/>
      <charset val="1"/>
    </font>
    <font>
      <b/>
      <u/>
      <sz val="10"/>
      <color rgb="FFF0D080"/>
      <name val="Calibri"/>
      <charset val="1"/>
    </font>
    <font>
      <sz val="9"/>
      <color rgb="FFFFFFFF"/>
      <name val="Calibri"/>
      <charset val="1"/>
    </font>
    <font>
      <sz val="9"/>
      <color rgb="FFF0D080"/>
      <name val="FreeSans"/>
      <family val="2"/>
      <charset val="1"/>
    </font>
    <font>
      <b/>
      <u/>
      <sz val="10"/>
      <color rgb="FFFF8C00"/>
      <name val="Calibri"/>
      <charset val="1"/>
    </font>
    <font>
      <b/>
      <u/>
      <sz val="10"/>
      <color rgb="FFFFFFFF"/>
      <name val="Calibri"/>
      <charset val="1"/>
    </font>
    <font>
      <b/>
      <u/>
      <sz val="10"/>
      <color rgb="FF00703C"/>
      <name val="Calibri"/>
      <charset val="1"/>
    </font>
    <font>
      <b/>
      <u/>
      <sz val="10"/>
      <color rgb="FFC9A84C"/>
      <name val="Calibri"/>
      <charset val="1"/>
    </font>
    <font>
      <b/>
      <sz val="13"/>
      <color rgb="FFC9A84C"/>
      <name val="Calibri"/>
      <charset val="1"/>
    </font>
    <font>
      <b/>
      <sz val="13"/>
      <color rgb="FFC9A84C"/>
      <name val="FreeSans"/>
      <family val="2"/>
    </font>
    <font>
      <sz val="10"/>
      <color rgb="FF000000"/>
      <name val="Calibri"/>
      <charset val="1"/>
    </font>
    <font>
      <b/>
      <sz val="9"/>
      <color rgb="FF8A95A3"/>
      <name val="Calibri"/>
      <charset val="1"/>
    </font>
    <font>
      <b/>
      <sz val="9"/>
      <color rgb="FF8A95A3"/>
      <name val="FreeSans"/>
      <family val="2"/>
    </font>
    <font>
      <b/>
      <sz val="9"/>
      <color rgb="FF0D1B2A"/>
      <name val="Calibri"/>
      <charset val="1"/>
    </font>
    <font>
      <b/>
      <sz val="9"/>
      <color rgb="FF00703C"/>
      <name val="Calibri"/>
      <charset val="1"/>
    </font>
    <font>
      <b/>
      <sz val="9"/>
      <color rgb="FFC00000"/>
      <name val="Calibri"/>
      <charset val="1"/>
    </font>
    <font>
      <b/>
      <sz val="9"/>
      <color rgb="FFFF8C00"/>
      <name val="Calibri"/>
      <charset val="1"/>
    </font>
    <font>
      <b/>
      <sz val="10"/>
      <color rgb="FF0D1B2A"/>
      <name val="Calibri"/>
      <charset val="1"/>
    </font>
    <font>
      <b/>
      <sz val="10"/>
      <color rgb="FF0D1B2A"/>
      <name val="FreeSans"/>
      <family val="2"/>
    </font>
    <font>
      <b/>
      <sz val="10"/>
      <color rgb="FF000000"/>
      <name val="Calibri"/>
      <charset val="1"/>
    </font>
    <font>
      <b/>
      <sz val="10"/>
      <color rgb="FF000000"/>
      <name val="FreeSans"/>
      <family val="2"/>
    </font>
    <font>
      <b/>
      <sz val="11"/>
      <color rgb="FF0D1B2A"/>
      <name val="Calibri"/>
      <charset val="1"/>
    </font>
    <font>
      <i/>
      <sz val="9"/>
      <color rgb="FFFF8C00"/>
      <name val="Calibri"/>
      <charset val="1"/>
    </font>
    <font>
      <i/>
      <sz val="9"/>
      <color rgb="FFFF8C00"/>
      <name val="FreeSans"/>
      <family val="2"/>
    </font>
    <font>
      <b/>
      <sz val="10"/>
      <color rgb="FFC9A84C"/>
      <name val="Calibri"/>
      <charset val="1"/>
    </font>
    <font>
      <b/>
      <sz val="10"/>
      <color rgb="FFC9A84C"/>
      <name val="FreeSans"/>
      <family val="2"/>
    </font>
    <font>
      <sz val="10"/>
      <color rgb="FF000000"/>
      <name val="FreeSans"/>
      <family val="2"/>
    </font>
    <font>
      <sz val="10"/>
      <color rgb="FF0070C0"/>
      <name val="Calibri"/>
      <charset val="1"/>
    </font>
    <font>
      <sz val="10"/>
      <color rgb="FF00703C"/>
      <name val="Calibri"/>
      <charset val="1"/>
    </font>
    <font>
      <sz val="10"/>
      <color rgb="FFC00000"/>
      <name val="Calibri"/>
      <charset val="1"/>
    </font>
    <font>
      <b/>
      <sz val="10"/>
      <color rgb="FFFF8C00"/>
      <name val="Calibri"/>
      <charset val="1"/>
    </font>
    <font>
      <b/>
      <sz val="9"/>
      <color rgb="FF0D1B2A"/>
      <name val="FreeSans"/>
      <family val="2"/>
    </font>
    <font>
      <sz val="9"/>
      <color rgb="FF0070C0"/>
      <name val="Calibri"/>
      <charset val="1"/>
    </font>
    <font>
      <sz val="9"/>
      <color rgb="FF0070C0"/>
      <name val="FreeSans"/>
      <family val="2"/>
    </font>
    <font>
      <sz val="9"/>
      <color rgb="FF000000"/>
      <name val="Calibri"/>
      <charset val="1"/>
    </font>
    <font>
      <sz val="9"/>
      <color rgb="FF000000"/>
      <name val="FreeSans"/>
      <family val="2"/>
    </font>
    <font>
      <sz val="9"/>
      <color rgb="FF00703C"/>
      <name val="Calibri"/>
      <charset val="1"/>
    </font>
    <font>
      <sz val="9"/>
      <color rgb="FF00703C"/>
      <name val="FreeSans"/>
      <family val="2"/>
    </font>
    <font>
      <sz val="9"/>
      <color rgb="FFFF8C00"/>
      <name val="Calibri"/>
      <charset val="1"/>
    </font>
    <font>
      <sz val="9"/>
      <color rgb="FFFF8C00"/>
      <name val="FreeSans"/>
      <family val="2"/>
    </font>
    <font>
      <sz val="9"/>
      <color rgb="FFC00000"/>
      <name val="Calibri"/>
      <charset val="1"/>
    </font>
    <font>
      <sz val="9"/>
      <color rgb="FFC00000"/>
      <name val="FreeSans"/>
      <family val="2"/>
    </font>
    <font>
      <b/>
      <sz val="10"/>
      <color rgb="FFFFFFFF"/>
      <name val="Calibri"/>
      <charset val="1"/>
    </font>
    <font>
      <b/>
      <sz val="10"/>
      <color rgb="FFFFFFFF"/>
      <name val="FreeSans"/>
      <family val="2"/>
    </font>
    <font>
      <b/>
      <sz val="10"/>
      <color rgb="FFF0D080"/>
      <name val="Calibri"/>
      <charset val="1"/>
    </font>
    <font>
      <b/>
      <sz val="10"/>
      <color rgb="FFF0D080"/>
      <name val="FreeSans"/>
      <family val="2"/>
    </font>
    <font>
      <sz val="10"/>
      <color rgb="FF8A95A3"/>
      <name val="Calibri"/>
      <charset val="1"/>
    </font>
    <font>
      <b/>
      <sz val="11"/>
      <color rgb="FFC9A84C"/>
      <name val="Calibri"/>
      <charset val="1"/>
    </font>
    <font>
      <b/>
      <sz val="11"/>
      <color rgb="FFFF8C00"/>
      <name val="Calibri"/>
      <charset val="1"/>
    </font>
    <font>
      <b/>
      <sz val="8"/>
      <color rgb="FFFFFFFF"/>
      <name val="Calibri"/>
      <charset val="1"/>
    </font>
    <font>
      <b/>
      <sz val="9"/>
      <color rgb="FF000000"/>
      <name val="Calibri"/>
      <charset val="1"/>
    </font>
    <font>
      <sz val="9"/>
      <color rgb="FF006D77"/>
      <name val="Calibri"/>
      <charset val="1"/>
    </font>
    <font>
      <sz val="9"/>
      <color rgb="FFF0D080"/>
      <name val="Calibri"/>
      <charset val="1"/>
    </font>
    <font>
      <b/>
      <sz val="9"/>
      <color rgb="FFF0D080"/>
      <name val="Calibri"/>
      <charset val="1"/>
    </font>
    <font>
      <b/>
      <sz val="9"/>
      <color rgb="FFF0D080"/>
      <name val="FreeSans"/>
      <family val="2"/>
    </font>
    <font>
      <b/>
      <sz val="11"/>
      <color rgb="FFC9A84C"/>
      <name val="FreeSans"/>
      <family val="2"/>
    </font>
    <font>
      <b/>
      <sz val="10"/>
      <color rgb="FF00703C"/>
      <name val="Calibri"/>
      <charset val="1"/>
    </font>
    <font>
      <b/>
      <sz val="10"/>
      <color rgb="FF0070C0"/>
      <name val="Calibri"/>
      <charset val="1"/>
    </font>
    <font>
      <sz val="10"/>
      <color rgb="FFFF8C00"/>
      <name val="Calibri"/>
      <charset val="1"/>
    </font>
    <font>
      <sz val="10"/>
      <color rgb="FFFF8C00"/>
      <name val="FreeSans"/>
      <family val="2"/>
    </font>
    <font>
      <sz val="10"/>
      <color rgb="FF006D77"/>
      <name val="Calibri"/>
      <charset val="1"/>
    </font>
    <font>
      <sz val="10"/>
      <color rgb="FF006D77"/>
      <name val="FreeSans"/>
      <family val="2"/>
    </font>
    <font>
      <sz val="10"/>
      <color rgb="FFC00000"/>
      <name val="FreeSans"/>
      <family val="2"/>
    </font>
    <font>
      <sz val="10"/>
      <color rgb="FF00703C"/>
      <name val="FreeSans"/>
      <family val="2"/>
    </font>
    <font>
      <b/>
      <sz val="11"/>
      <color rgb="FFFFFFFF"/>
      <name val="Calibri"/>
      <charset val="1"/>
    </font>
    <font>
      <sz val="10"/>
      <color rgb="FFF0D080"/>
      <name val="Calibri"/>
      <charset val="1"/>
    </font>
    <font>
      <sz val="10"/>
      <color rgb="FFF0D080"/>
      <name val="FreeSans"/>
      <family val="2"/>
    </font>
    <font>
      <b/>
      <sz val="11"/>
      <color rgb="FF0070C0"/>
      <name val="Calibri"/>
      <charset val="1"/>
    </font>
    <font>
      <b/>
      <sz val="16"/>
      <color rgb="FFC9A84C"/>
      <name val="FreeSans"/>
      <family val="2"/>
    </font>
    <font>
      <sz val="8"/>
      <color rgb="FF8A95A3"/>
      <name val="Calibri"/>
      <charset val="1"/>
    </font>
    <font>
      <sz val="8"/>
      <color rgb="FF8A95A3"/>
      <name val="FreeSans"/>
      <family val="2"/>
    </font>
    <font>
      <b/>
      <sz val="13"/>
      <color rgb="FFFF8C00"/>
      <name val="Calibri"/>
      <charset val="1"/>
    </font>
    <font>
      <b/>
      <sz val="13"/>
      <color rgb="FFF0D080"/>
      <name val="Calibri"/>
      <charset val="1"/>
    </font>
    <font>
      <i/>
      <sz val="8"/>
      <color rgb="FF8A95A3"/>
      <name val="Calibri"/>
      <charset val="1"/>
    </font>
    <font>
      <b/>
      <sz val="18"/>
      <color rgb="FFC9A84C"/>
      <name val="Calibri"/>
      <charset val="1"/>
    </font>
    <font>
      <b/>
      <sz val="14"/>
      <color rgb="FFF0D080"/>
      <name val="FreeSans"/>
      <family val="2"/>
      <charset val="1"/>
    </font>
    <font>
      <b/>
      <sz val="10"/>
      <color rgb="FF8A95A3"/>
      <name val="Calibri"/>
      <charset val="1"/>
    </font>
    <font>
      <b/>
      <sz val="10"/>
      <color rgb="FF8A95A3"/>
      <name val="FreeSans"/>
      <family val="2"/>
    </font>
    <font>
      <b/>
      <sz val="9"/>
      <color rgb="FFF0D080"/>
      <name val="FreeSans"/>
      <family val="2"/>
      <charset val="1"/>
    </font>
    <font>
      <b/>
      <sz val="11"/>
      <color rgb="FF00703C"/>
      <name val="Calibri"/>
      <charset val="1"/>
    </font>
    <font>
      <b/>
      <sz val="11"/>
      <color rgb="FFF0D080"/>
      <name val="Calibri"/>
      <charset val="1"/>
    </font>
    <font>
      <b/>
      <sz val="8"/>
      <color rgb="FF8A95A3"/>
      <name val="Calibri"/>
      <charset val="1"/>
    </font>
    <font>
      <b/>
      <sz val="8"/>
      <color rgb="FF8A95A3"/>
      <name val="FreeSans"/>
      <family val="2"/>
    </font>
  </fonts>
  <fills count="15">
    <fill>
      <patternFill patternType="none"/>
    </fill>
    <fill>
      <patternFill patternType="gray125"/>
    </fill>
    <fill>
      <patternFill patternType="solid">
        <fgColor rgb="FF0D1B2A"/>
        <bgColor rgb="FF1B2A40"/>
      </patternFill>
    </fill>
    <fill>
      <patternFill patternType="solid">
        <fgColor rgb="FFC9A84C"/>
        <bgColor rgb="FFF0D080"/>
      </patternFill>
    </fill>
    <fill>
      <patternFill patternType="solid">
        <fgColor rgb="FF1B2A40"/>
        <bgColor rgb="FF1C3553"/>
      </patternFill>
    </fill>
    <fill>
      <patternFill patternType="solid">
        <fgColor rgb="FF1C3553"/>
        <bgColor rgb="FF1B2A40"/>
      </patternFill>
    </fill>
    <fill>
      <patternFill patternType="solid">
        <fgColor rgb="FFF2F4F7"/>
        <bgColor rgb="FFEBF3FB"/>
      </patternFill>
    </fill>
    <fill>
      <patternFill patternType="solid">
        <fgColor rgb="FFFFFF00"/>
        <bgColor rgb="FFFFFF00"/>
      </patternFill>
    </fill>
    <fill>
      <patternFill patternType="solid">
        <fgColor rgb="FFEBF3FB"/>
        <bgColor rgb="FFF2F4F7"/>
      </patternFill>
    </fill>
    <fill>
      <patternFill patternType="solid">
        <fgColor rgb="FFEBF7EF"/>
        <bgColor rgb="FFEBF3FB"/>
      </patternFill>
    </fill>
    <fill>
      <patternFill patternType="solid">
        <fgColor rgb="FFFDECEA"/>
        <bgColor rgb="FFFCE4D6"/>
      </patternFill>
    </fill>
    <fill>
      <patternFill patternType="solid">
        <fgColor rgb="FFFFF3CD"/>
        <bgColor rgb="FFFDECEA"/>
      </patternFill>
    </fill>
    <fill>
      <patternFill patternType="solid">
        <fgColor rgb="FFFFFFFF"/>
        <bgColor rgb="FFF2F4F7"/>
      </patternFill>
    </fill>
    <fill>
      <patternFill patternType="solid">
        <fgColor rgb="FFE2EFDA"/>
        <bgColor rgb="FFEBF7EF"/>
      </patternFill>
    </fill>
    <fill>
      <patternFill patternType="solid">
        <fgColor rgb="FFFCE4D6"/>
        <bgColor rgb="FFFDECEA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0D1B2A"/>
      </top>
      <bottom style="medium">
        <color rgb="FF0D1B2A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right" vertical="center" indent="1"/>
    </xf>
    <xf numFmtId="0" fontId="6" fillId="4" borderId="0" xfId="0" applyFont="1" applyFill="1" applyAlignment="1">
      <alignment horizontal="left" vertical="center" indent="1"/>
    </xf>
    <xf numFmtId="0" fontId="0" fillId="3" borderId="0" xfId="0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0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 indent="1"/>
    </xf>
    <xf numFmtId="0" fontId="25" fillId="4" borderId="1" xfId="0" applyFont="1" applyFill="1" applyBorder="1" applyAlignment="1">
      <alignment horizontal="left" vertical="center" indent="1"/>
    </xf>
    <xf numFmtId="0" fontId="26" fillId="4" borderId="1" xfId="0" applyFont="1" applyFill="1" applyBorder="1" applyAlignment="1">
      <alignment horizontal="right" vertical="center"/>
    </xf>
    <xf numFmtId="0" fontId="27" fillId="4" borderId="1" xfId="0" applyFont="1" applyFill="1" applyBorder="1" applyAlignment="1">
      <alignment horizontal="left" vertical="center" indent="1"/>
    </xf>
    <xf numFmtId="0" fontId="28" fillId="4" borderId="1" xfId="0" applyFont="1" applyFill="1" applyBorder="1" applyAlignment="1">
      <alignment horizontal="left" vertical="center" indent="1"/>
    </xf>
    <xf numFmtId="0" fontId="29" fillId="4" borderId="1" xfId="0" applyFont="1" applyFill="1" applyBorder="1" applyAlignment="1">
      <alignment horizontal="left" vertical="center" indent="1"/>
    </xf>
    <xf numFmtId="0" fontId="30" fillId="4" borderId="1" xfId="0" applyFont="1" applyFill="1" applyBorder="1" applyAlignment="1">
      <alignment horizontal="left" vertical="center" indent="1"/>
    </xf>
    <xf numFmtId="0" fontId="33" fillId="6" borderId="0" xfId="0" applyFont="1" applyFill="1" applyAlignment="1">
      <alignment horizontal="left" vertical="center"/>
    </xf>
    <xf numFmtId="0" fontId="34" fillId="6" borderId="0" xfId="0" applyFont="1" applyFill="1" applyAlignment="1">
      <alignment horizontal="left" vertical="center"/>
    </xf>
    <xf numFmtId="0" fontId="36" fillId="6" borderId="0" xfId="0" applyFont="1" applyFill="1" applyAlignment="1">
      <alignment horizontal="center" vertical="center"/>
    </xf>
    <xf numFmtId="0" fontId="37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39" fillId="6" borderId="0" xfId="0" applyFont="1" applyFill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4" fillId="7" borderId="0" xfId="0" applyFont="1" applyFill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indent="1"/>
    </xf>
    <xf numFmtId="4" fontId="50" fillId="8" borderId="0" xfId="0" applyNumberFormat="1" applyFont="1" applyFill="1" applyAlignment="1">
      <alignment horizontal="center" vertical="center"/>
    </xf>
    <xf numFmtId="4" fontId="51" fillId="9" borderId="0" xfId="0" applyNumberFormat="1" applyFont="1" applyFill="1" applyAlignment="1">
      <alignment horizontal="center" vertical="center"/>
    </xf>
    <xf numFmtId="4" fontId="52" fillId="10" borderId="0" xfId="0" applyNumberFormat="1" applyFont="1" applyFill="1" applyAlignment="1">
      <alignment horizontal="center" vertical="center"/>
    </xf>
    <xf numFmtId="4" fontId="53" fillId="11" borderId="0" xfId="0" applyNumberFormat="1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10" fontId="50" fillId="8" borderId="0" xfId="0" applyNumberFormat="1" applyFont="1" applyFill="1" applyAlignment="1">
      <alignment horizontal="center" vertical="center"/>
    </xf>
    <xf numFmtId="10" fontId="51" fillId="9" borderId="0" xfId="0" applyNumberFormat="1" applyFont="1" applyFill="1" applyAlignment="1">
      <alignment horizontal="center" vertical="center"/>
    </xf>
    <xf numFmtId="10" fontId="52" fillId="10" borderId="0" xfId="0" applyNumberFormat="1" applyFont="1" applyFill="1" applyAlignment="1">
      <alignment horizontal="center" vertical="center"/>
    </xf>
    <xf numFmtId="10" fontId="53" fillId="11" borderId="0" xfId="0" applyNumberFormat="1" applyFont="1" applyFill="1" applyAlignment="1">
      <alignment horizontal="center"/>
    </xf>
    <xf numFmtId="3" fontId="50" fillId="8" borderId="0" xfId="0" applyNumberFormat="1" applyFont="1" applyFill="1" applyAlignment="1">
      <alignment horizontal="center" vertical="center"/>
    </xf>
    <xf numFmtId="3" fontId="51" fillId="9" borderId="0" xfId="0" applyNumberFormat="1" applyFont="1" applyFill="1" applyAlignment="1">
      <alignment horizontal="center" vertical="center"/>
    </xf>
    <xf numFmtId="3" fontId="52" fillId="10" borderId="0" xfId="0" applyNumberFormat="1" applyFont="1" applyFill="1" applyAlignment="1">
      <alignment horizontal="center" vertical="center"/>
    </xf>
    <xf numFmtId="3" fontId="53" fillId="11" borderId="0" xfId="0" applyNumberFormat="1" applyFont="1" applyFill="1" applyAlignment="1">
      <alignment horizontal="center"/>
    </xf>
    <xf numFmtId="164" fontId="50" fillId="8" borderId="0" xfId="0" applyNumberFormat="1" applyFont="1" applyFill="1" applyAlignment="1">
      <alignment horizontal="center" vertical="center"/>
    </xf>
    <xf numFmtId="164" fontId="51" fillId="9" borderId="0" xfId="0" applyNumberFormat="1" applyFont="1" applyFill="1" applyAlignment="1">
      <alignment horizontal="center" vertical="center"/>
    </xf>
    <xf numFmtId="164" fontId="52" fillId="10" borderId="0" xfId="0" applyNumberFormat="1" applyFont="1" applyFill="1" applyAlignment="1">
      <alignment horizontal="center" vertical="center"/>
    </xf>
    <xf numFmtId="164" fontId="53" fillId="11" borderId="0" xfId="0" applyNumberFormat="1" applyFont="1" applyFill="1" applyAlignment="1">
      <alignment horizontal="center"/>
    </xf>
    <xf numFmtId="165" fontId="50" fillId="8" borderId="0" xfId="0" applyNumberFormat="1" applyFont="1" applyFill="1" applyAlignment="1">
      <alignment horizontal="center" vertical="center"/>
    </xf>
    <xf numFmtId="165" fontId="51" fillId="9" borderId="0" xfId="0" applyNumberFormat="1" applyFont="1" applyFill="1" applyAlignment="1">
      <alignment horizontal="center" vertical="center"/>
    </xf>
    <xf numFmtId="165" fontId="52" fillId="10" borderId="0" xfId="0" applyNumberFormat="1" applyFont="1" applyFill="1" applyAlignment="1">
      <alignment horizontal="center" vertical="center"/>
    </xf>
    <xf numFmtId="166" fontId="50" fillId="8" borderId="0" xfId="0" applyNumberFormat="1" applyFont="1" applyFill="1" applyAlignment="1">
      <alignment horizontal="center" vertical="center"/>
    </xf>
    <xf numFmtId="166" fontId="51" fillId="9" borderId="0" xfId="0" applyNumberFormat="1" applyFont="1" applyFill="1" applyAlignment="1">
      <alignment horizontal="center" vertical="center"/>
    </xf>
    <xf numFmtId="166" fontId="52" fillId="10" borderId="0" xfId="0" applyNumberFormat="1" applyFont="1" applyFill="1" applyAlignment="1">
      <alignment horizontal="center" vertical="center"/>
    </xf>
    <xf numFmtId="166" fontId="53" fillId="11" borderId="0" xfId="0" applyNumberFormat="1" applyFont="1" applyFill="1" applyAlignment="1">
      <alignment horizontal="center"/>
    </xf>
    <xf numFmtId="0" fontId="65" fillId="5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indent="1"/>
    </xf>
    <xf numFmtId="165" fontId="50" fillId="0" borderId="1" xfId="0" applyNumberFormat="1" applyFont="1" applyBorder="1" applyAlignment="1">
      <alignment horizontal="right" vertical="center"/>
    </xf>
    <xf numFmtId="165" fontId="69" fillId="0" borderId="1" xfId="0" applyNumberFormat="1" applyFont="1" applyBorder="1" applyAlignment="1">
      <alignment horizontal="right" vertical="center"/>
    </xf>
    <xf numFmtId="165" fontId="51" fillId="0" borderId="1" xfId="0" applyNumberFormat="1" applyFont="1" applyBorder="1" applyAlignment="1">
      <alignment horizontal="right"/>
    </xf>
    <xf numFmtId="3" fontId="51" fillId="0" borderId="1" xfId="0" applyNumberFormat="1" applyFont="1" applyBorder="1" applyAlignment="1">
      <alignment horizontal="right"/>
    </xf>
    <xf numFmtId="0" fontId="47" fillId="2" borderId="2" xfId="0" applyFont="1" applyFill="1" applyBorder="1" applyAlignment="1">
      <alignment horizontal="left" vertical="center"/>
    </xf>
    <xf numFmtId="165" fontId="70" fillId="2" borderId="2" xfId="0" applyNumberFormat="1" applyFont="1" applyFill="1" applyBorder="1" applyAlignment="1">
      <alignment horizontal="right"/>
    </xf>
    <xf numFmtId="165" fontId="71" fillId="2" borderId="2" xfId="0" applyNumberFormat="1" applyFont="1" applyFill="1" applyBorder="1" applyAlignment="1">
      <alignment horizontal="right"/>
    </xf>
    <xf numFmtId="0" fontId="20" fillId="5" borderId="1" xfId="0" applyFont="1" applyFill="1" applyBorder="1" applyAlignment="1">
      <alignment horizontal="center" vertical="center"/>
    </xf>
    <xf numFmtId="165" fontId="50" fillId="0" borderId="1" xfId="0" applyNumberFormat="1" applyFont="1" applyBorder="1" applyAlignment="1">
      <alignment horizontal="center" vertical="center"/>
    </xf>
    <xf numFmtId="165" fontId="33" fillId="0" borderId="1" xfId="0" applyNumberFormat="1" applyFont="1" applyBorder="1" applyAlignment="1">
      <alignment horizontal="right"/>
    </xf>
    <xf numFmtId="0" fontId="47" fillId="2" borderId="0" xfId="0" applyFont="1" applyFill="1" applyAlignment="1">
      <alignment horizontal="left" vertical="center"/>
    </xf>
    <xf numFmtId="165" fontId="70" fillId="2" borderId="0" xfId="0" applyNumberFormat="1" applyFont="1" applyFill="1" applyAlignment="1">
      <alignment horizontal="right"/>
    </xf>
    <xf numFmtId="0" fontId="65" fillId="5" borderId="1" xfId="0" applyFont="1" applyFill="1" applyBorder="1" applyAlignment="1">
      <alignment horizontal="left" vertical="center"/>
    </xf>
    <xf numFmtId="0" fontId="72" fillId="5" borderId="1" xfId="0" applyFont="1" applyFill="1" applyBorder="1" applyAlignment="1">
      <alignment horizontal="center" vertical="center" wrapText="1"/>
    </xf>
    <xf numFmtId="0" fontId="47" fillId="5" borderId="0" xfId="0" applyFont="1" applyFill="1" applyAlignment="1">
      <alignment horizontal="left" vertical="center"/>
    </xf>
    <xf numFmtId="0" fontId="0" fillId="5" borderId="0" xfId="0" applyFill="1"/>
    <xf numFmtId="3" fontId="55" fillId="0" borderId="0" xfId="0" applyNumberFormat="1" applyFont="1" applyAlignment="1">
      <alignment horizontal="center"/>
    </xf>
    <xf numFmtId="165" fontId="55" fillId="0" borderId="0" xfId="0" applyNumberFormat="1" applyFont="1" applyAlignment="1">
      <alignment horizontal="right"/>
    </xf>
    <xf numFmtId="165" fontId="57" fillId="0" borderId="0" xfId="0" applyNumberFormat="1" applyFont="1" applyAlignment="1">
      <alignment horizontal="right"/>
    </xf>
    <xf numFmtId="0" fontId="65" fillId="4" borderId="0" xfId="0" applyFont="1" applyFill="1" applyAlignment="1">
      <alignment horizontal="left" vertical="center" indent="1"/>
    </xf>
    <xf numFmtId="165" fontId="20" fillId="4" borderId="0" xfId="0" applyNumberFormat="1" applyFont="1" applyFill="1" applyAlignment="1">
      <alignment horizontal="right"/>
    </xf>
    <xf numFmtId="165" fontId="73" fillId="6" borderId="0" xfId="0" applyNumberFormat="1" applyFont="1" applyFill="1" applyAlignment="1">
      <alignment horizontal="right"/>
    </xf>
    <xf numFmtId="165" fontId="37" fillId="13" borderId="0" xfId="0" applyNumberFormat="1" applyFont="1" applyFill="1" applyAlignment="1">
      <alignment horizontal="right"/>
    </xf>
    <xf numFmtId="164" fontId="74" fillId="13" borderId="0" xfId="0" applyNumberFormat="1" applyFont="1" applyFill="1" applyAlignment="1">
      <alignment horizontal="center"/>
    </xf>
    <xf numFmtId="0" fontId="65" fillId="4" borderId="0" xfId="0" applyFont="1" applyFill="1" applyAlignment="1">
      <alignment horizontal="left" vertical="center"/>
    </xf>
    <xf numFmtId="165" fontId="47" fillId="2" borderId="0" xfId="0" applyNumberFormat="1" applyFont="1" applyFill="1" applyAlignment="1">
      <alignment horizontal="right"/>
    </xf>
    <xf numFmtId="164" fontId="75" fillId="2" borderId="0" xfId="0" applyNumberFormat="1" applyFont="1" applyFill="1" applyAlignment="1">
      <alignment horizontal="center"/>
    </xf>
    <xf numFmtId="3" fontId="20" fillId="4" borderId="0" xfId="0" applyNumberFormat="1" applyFont="1" applyFill="1" applyAlignment="1">
      <alignment horizontal="right"/>
    </xf>
    <xf numFmtId="3" fontId="63" fillId="0" borderId="0" xfId="0" applyNumberFormat="1" applyFont="1" applyAlignment="1">
      <alignment horizontal="right"/>
    </xf>
    <xf numFmtId="0" fontId="47" fillId="2" borderId="1" xfId="0" applyFont="1" applyFill="1" applyBorder="1" applyAlignment="1">
      <alignment horizontal="center" vertical="center"/>
    </xf>
    <xf numFmtId="165" fontId="65" fillId="4" borderId="0" xfId="0" applyNumberFormat="1" applyFont="1" applyFill="1" applyAlignment="1">
      <alignment horizontal="right"/>
    </xf>
    <xf numFmtId="165" fontId="57" fillId="4" borderId="0" xfId="0" applyNumberFormat="1" applyFont="1" applyFill="1" applyAlignment="1">
      <alignment horizontal="right"/>
    </xf>
    <xf numFmtId="0" fontId="65" fillId="5" borderId="1" xfId="0" applyFont="1" applyFill="1" applyBorder="1" applyAlignment="1">
      <alignment horizontal="center" vertical="center"/>
    </xf>
    <xf numFmtId="3" fontId="50" fillId="8" borderId="0" xfId="0" applyNumberFormat="1" applyFont="1" applyFill="1" applyAlignment="1">
      <alignment horizontal="center"/>
    </xf>
    <xf numFmtId="0" fontId="70" fillId="2" borderId="0" xfId="0" applyFont="1" applyFill="1" applyAlignment="1">
      <alignment horizontal="left" vertical="center"/>
    </xf>
    <xf numFmtId="165" fontId="47" fillId="2" borderId="1" xfId="0" applyNumberFormat="1" applyFont="1" applyFill="1" applyBorder="1" applyAlignment="1">
      <alignment horizontal="right"/>
    </xf>
    <xf numFmtId="165" fontId="65" fillId="4" borderId="1" xfId="0" applyNumberFormat="1" applyFont="1" applyFill="1" applyBorder="1" applyAlignment="1">
      <alignment horizontal="right"/>
    </xf>
    <xf numFmtId="164" fontId="79" fillId="9" borderId="0" xfId="0" applyNumberFormat="1" applyFont="1" applyFill="1" applyAlignment="1">
      <alignment horizontal="center"/>
    </xf>
    <xf numFmtId="167" fontId="80" fillId="9" borderId="0" xfId="0" applyNumberFormat="1" applyFont="1" applyFill="1" applyAlignment="1">
      <alignment horizontal="center"/>
    </xf>
    <xf numFmtId="9" fontId="80" fillId="9" borderId="0" xfId="0" applyNumberFormat="1" applyFont="1" applyFill="1" applyAlignment="1">
      <alignment horizontal="center"/>
    </xf>
    <xf numFmtId="0" fontId="81" fillId="0" borderId="0" xfId="0" applyFont="1" applyAlignment="1">
      <alignment horizontal="left" vertical="center" indent="1"/>
    </xf>
    <xf numFmtId="165" fontId="61" fillId="0" borderId="0" xfId="0" applyNumberFormat="1" applyFont="1" applyAlignment="1">
      <alignment horizontal="right"/>
    </xf>
    <xf numFmtId="0" fontId="83" fillId="0" borderId="0" xfId="0" applyFont="1" applyAlignment="1">
      <alignment horizontal="left" vertical="center" indent="1"/>
    </xf>
    <xf numFmtId="164" fontId="74" fillId="0" borderId="0" xfId="0" applyNumberFormat="1" applyFont="1" applyAlignment="1">
      <alignment horizontal="center"/>
    </xf>
    <xf numFmtId="0" fontId="52" fillId="0" borderId="0" xfId="0" applyFont="1" applyAlignment="1">
      <alignment horizontal="left" vertical="center" indent="1"/>
    </xf>
    <xf numFmtId="165" fontId="63" fillId="0" borderId="0" xfId="0" applyNumberFormat="1" applyFont="1" applyAlignment="1">
      <alignment horizontal="right"/>
    </xf>
    <xf numFmtId="0" fontId="51" fillId="0" borderId="0" xfId="0" applyFont="1" applyAlignment="1">
      <alignment horizontal="left" vertical="center" indent="1"/>
    </xf>
    <xf numFmtId="165" fontId="59" fillId="0" borderId="0" xfId="0" applyNumberFormat="1" applyFont="1" applyAlignment="1">
      <alignment horizontal="right"/>
    </xf>
    <xf numFmtId="168" fontId="57" fillId="0" borderId="0" xfId="0" applyNumberFormat="1" applyFont="1" applyAlignment="1">
      <alignment horizontal="center"/>
    </xf>
    <xf numFmtId="165" fontId="33" fillId="0" borderId="0" xfId="0" applyNumberFormat="1" applyFont="1" applyAlignment="1">
      <alignment horizontal="right"/>
    </xf>
    <xf numFmtId="0" fontId="70" fillId="2" borderId="0" xfId="0" applyFont="1" applyFill="1" applyAlignment="1">
      <alignment horizontal="left" vertical="center" indent="1"/>
    </xf>
    <xf numFmtId="0" fontId="15" fillId="4" borderId="0" xfId="0" applyFont="1" applyFill="1" applyAlignment="1">
      <alignment horizontal="left" vertical="center" indent="1"/>
    </xf>
    <xf numFmtId="0" fontId="88" fillId="4" borderId="0" xfId="0" applyFont="1" applyFill="1" applyAlignment="1">
      <alignment horizontal="left" vertical="center" indent="1"/>
    </xf>
    <xf numFmtId="165" fontId="52" fillId="8" borderId="0" xfId="0" applyNumberFormat="1" applyFont="1" applyFill="1" applyAlignment="1">
      <alignment horizontal="right"/>
    </xf>
    <xf numFmtId="165" fontId="51" fillId="9" borderId="0" xfId="0" applyNumberFormat="1" applyFont="1" applyFill="1" applyAlignment="1">
      <alignment horizontal="right"/>
    </xf>
    <xf numFmtId="165" fontId="52" fillId="10" borderId="0" xfId="0" applyNumberFormat="1" applyFont="1" applyFill="1" applyAlignment="1">
      <alignment horizontal="right"/>
    </xf>
    <xf numFmtId="165" fontId="50" fillId="8" borderId="0" xfId="0" applyNumberFormat="1" applyFont="1" applyFill="1" applyAlignment="1">
      <alignment horizontal="right"/>
    </xf>
    <xf numFmtId="164" fontId="70" fillId="2" borderId="0" xfId="0" applyNumberFormat="1" applyFont="1" applyFill="1" applyAlignment="1">
      <alignment horizontal="right"/>
    </xf>
    <xf numFmtId="3" fontId="50" fillId="8" borderId="0" xfId="0" applyNumberFormat="1" applyFont="1" applyFill="1" applyAlignment="1">
      <alignment horizontal="right"/>
    </xf>
    <xf numFmtId="3" fontId="51" fillId="9" borderId="0" xfId="0" applyNumberFormat="1" applyFont="1" applyFill="1" applyAlignment="1">
      <alignment horizontal="right"/>
    </xf>
    <xf numFmtId="3" fontId="52" fillId="10" borderId="0" xfId="0" applyNumberFormat="1" applyFont="1" applyFill="1" applyAlignment="1">
      <alignment horizontal="right"/>
    </xf>
    <xf numFmtId="167" fontId="70" fillId="2" borderId="0" xfId="0" applyNumberFormat="1" applyFont="1" applyFill="1" applyAlignment="1">
      <alignment horizontal="right"/>
    </xf>
    <xf numFmtId="169" fontId="50" fillId="8" borderId="0" xfId="0" applyNumberFormat="1" applyFont="1" applyFill="1" applyAlignment="1">
      <alignment horizontal="right"/>
    </xf>
    <xf numFmtId="169" fontId="51" fillId="9" borderId="0" xfId="0" applyNumberFormat="1" applyFont="1" applyFill="1" applyAlignment="1">
      <alignment horizontal="right"/>
    </xf>
    <xf numFmtId="169" fontId="52" fillId="10" borderId="0" xfId="0" applyNumberFormat="1" applyFont="1" applyFill="1" applyAlignment="1">
      <alignment horizontal="right"/>
    </xf>
    <xf numFmtId="164" fontId="50" fillId="8" borderId="0" xfId="0" applyNumberFormat="1" applyFont="1" applyFill="1" applyAlignment="1">
      <alignment horizontal="right"/>
    </xf>
    <xf numFmtId="164" fontId="51" fillId="9" borderId="0" xfId="0" applyNumberFormat="1" applyFont="1" applyFill="1" applyAlignment="1">
      <alignment horizontal="right"/>
    </xf>
    <xf numFmtId="164" fontId="52" fillId="10" borderId="0" xfId="0" applyNumberFormat="1" applyFont="1" applyFill="1" applyAlignment="1">
      <alignment horizontal="right"/>
    </xf>
    <xf numFmtId="9" fontId="80" fillId="0" borderId="0" xfId="0" applyNumberFormat="1" applyFont="1" applyAlignment="1">
      <alignment horizontal="center"/>
    </xf>
    <xf numFmtId="164" fontId="51" fillId="0" borderId="0" xfId="0" applyNumberFormat="1" applyFont="1" applyAlignment="1">
      <alignment horizontal="center"/>
    </xf>
    <xf numFmtId="0" fontId="47" fillId="5" borderId="1" xfId="0" applyFont="1" applyFill="1" applyBorder="1" applyAlignment="1">
      <alignment horizontal="center" vertical="center"/>
    </xf>
    <xf numFmtId="0" fontId="65" fillId="4" borderId="1" xfId="0" applyFont="1" applyFill="1" applyBorder="1" applyAlignment="1">
      <alignment horizontal="center" vertical="center"/>
    </xf>
    <xf numFmtId="165" fontId="57" fillId="0" borderId="1" xfId="0" applyNumberFormat="1" applyFont="1" applyBorder="1" applyAlignment="1">
      <alignment horizontal="right"/>
    </xf>
    <xf numFmtId="3" fontId="57" fillId="0" borderId="1" xfId="0" applyNumberFormat="1" applyFont="1" applyBorder="1" applyAlignment="1">
      <alignment horizontal="right"/>
    </xf>
    <xf numFmtId="165" fontId="90" fillId="8" borderId="0" xfId="0" applyNumberFormat="1" applyFont="1" applyFill="1" applyAlignment="1">
      <alignment horizontal="right"/>
    </xf>
    <xf numFmtId="0" fontId="47" fillId="2" borderId="0" xfId="0" applyFont="1" applyFill="1" applyAlignment="1">
      <alignment horizontal="left" vertical="center" indent="1"/>
    </xf>
    <xf numFmtId="3" fontId="33" fillId="0" borderId="1" xfId="0" applyNumberFormat="1" applyFont="1" applyBorder="1" applyAlignment="1">
      <alignment horizontal="right"/>
    </xf>
    <xf numFmtId="165" fontId="52" fillId="14" borderId="1" xfId="0" applyNumberFormat="1" applyFont="1" applyFill="1" applyBorder="1" applyAlignment="1">
      <alignment horizontal="right"/>
    </xf>
    <xf numFmtId="165" fontId="51" fillId="13" borderId="1" xfId="0" applyNumberFormat="1" applyFont="1" applyFill="1" applyBorder="1" applyAlignment="1">
      <alignment horizontal="right"/>
    </xf>
    <xf numFmtId="0" fontId="20" fillId="4" borderId="1" xfId="0" applyFont="1" applyFill="1" applyBorder="1" applyAlignment="1">
      <alignment horizontal="center"/>
    </xf>
    <xf numFmtId="0" fontId="47" fillId="4" borderId="0" xfId="0" applyFont="1" applyFill="1"/>
    <xf numFmtId="0" fontId="25" fillId="4" borderId="1" xfId="0" applyFont="1" applyFill="1" applyBorder="1" applyAlignment="1">
      <alignment horizontal="left" indent="1"/>
    </xf>
    <xf numFmtId="4" fontId="25" fillId="4" borderId="1" xfId="0" applyNumberFormat="1" applyFont="1" applyFill="1" applyBorder="1" applyAlignment="1">
      <alignment horizontal="right"/>
    </xf>
    <xf numFmtId="165" fontId="25" fillId="4" borderId="1" xfId="0" applyNumberFormat="1" applyFont="1" applyFill="1" applyBorder="1" applyAlignment="1">
      <alignment horizontal="right"/>
    </xf>
    <xf numFmtId="165" fontId="75" fillId="5" borderId="1" xfId="0" applyNumberFormat="1" applyFont="1" applyFill="1" applyBorder="1" applyAlignment="1">
      <alignment horizontal="right"/>
    </xf>
    <xf numFmtId="164" fontId="25" fillId="4" borderId="1" xfId="0" applyNumberFormat="1" applyFont="1" applyFill="1" applyBorder="1" applyAlignment="1">
      <alignment horizontal="right"/>
    </xf>
    <xf numFmtId="164" fontId="75" fillId="5" borderId="1" xfId="0" applyNumberFormat="1" applyFont="1" applyFill="1" applyBorder="1" applyAlignment="1">
      <alignment horizontal="right"/>
    </xf>
    <xf numFmtId="0" fontId="31" fillId="2" borderId="0" xfId="0" applyFont="1" applyFill="1" applyAlignment="1">
      <alignment horizontal="left" vertical="center" indent="1"/>
    </xf>
    <xf numFmtId="0" fontId="40" fillId="3" borderId="0" xfId="0" applyFont="1" applyFill="1" applyAlignment="1">
      <alignment horizontal="left" vertical="center" indent="1"/>
    </xf>
    <xf numFmtId="0" fontId="47" fillId="5" borderId="0" xfId="0" applyFont="1" applyFill="1" applyAlignment="1">
      <alignment horizontal="left" vertical="center" indent="1"/>
    </xf>
    <xf numFmtId="0" fontId="36" fillId="6" borderId="0" xfId="0" applyFont="1" applyFill="1" applyAlignment="1">
      <alignment horizontal="left" vertical="center" indent="1"/>
    </xf>
    <xf numFmtId="0" fontId="55" fillId="8" borderId="0" xfId="0" applyFont="1" applyFill="1" applyAlignment="1">
      <alignment horizontal="left" vertical="center"/>
    </xf>
    <xf numFmtId="0" fontId="57" fillId="12" borderId="0" xfId="0" applyFont="1" applyFill="1" applyAlignment="1">
      <alignment horizontal="left" vertical="center"/>
    </xf>
    <xf numFmtId="0" fontId="59" fillId="9" borderId="0" xfId="0" applyFont="1" applyFill="1" applyAlignment="1">
      <alignment horizontal="left" vertical="center"/>
    </xf>
    <xf numFmtId="0" fontId="61" fillId="11" borderId="0" xfId="0" applyFont="1" applyFill="1" applyAlignment="1">
      <alignment horizontal="left" vertical="center"/>
    </xf>
    <xf numFmtId="0" fontId="63" fillId="10" borderId="0" xfId="0" applyFont="1" applyFill="1" applyAlignment="1">
      <alignment horizontal="left" vertical="center"/>
    </xf>
    <xf numFmtId="0" fontId="67" fillId="4" borderId="0" xfId="0" applyFont="1" applyFill="1" applyAlignment="1">
      <alignment horizontal="left" vertical="center" indent="1"/>
    </xf>
    <xf numFmtId="0" fontId="47" fillId="2" borderId="0" xfId="0" applyFont="1" applyFill="1" applyAlignment="1">
      <alignment horizontal="left" vertical="center"/>
    </xf>
    <xf numFmtId="0" fontId="76" fillId="4" borderId="0" xfId="0" applyFont="1" applyFill="1" applyAlignment="1">
      <alignment horizontal="left" vertical="center" indent="1"/>
    </xf>
    <xf numFmtId="165" fontId="87" fillId="4" borderId="0" xfId="0" applyNumberFormat="1" applyFont="1" applyFill="1" applyAlignment="1">
      <alignment horizontal="right"/>
    </xf>
    <xf numFmtId="3" fontId="33" fillId="0" borderId="0" xfId="0" applyNumberFormat="1" applyFont="1" applyAlignment="1">
      <alignment horizontal="right"/>
    </xf>
    <xf numFmtId="165" fontId="33" fillId="0" borderId="0" xfId="0" applyNumberFormat="1" applyFont="1" applyAlignment="1">
      <alignment horizontal="right"/>
    </xf>
    <xf numFmtId="0" fontId="70" fillId="2" borderId="0" xfId="0" applyFont="1" applyFill="1" applyAlignment="1">
      <alignment horizontal="left" vertical="center" indent="1"/>
    </xf>
    <xf numFmtId="165" fontId="15" fillId="4" borderId="0" xfId="0" applyNumberFormat="1" applyFont="1" applyFill="1" applyAlignment="1">
      <alignment horizontal="right"/>
    </xf>
    <xf numFmtId="165" fontId="70" fillId="2" borderId="0" xfId="0" applyNumberFormat="1" applyFont="1" applyFill="1" applyAlignment="1">
      <alignment horizontal="right"/>
    </xf>
    <xf numFmtId="165" fontId="52" fillId="0" borderId="0" xfId="0" applyNumberFormat="1" applyFont="1" applyAlignment="1">
      <alignment horizontal="right"/>
    </xf>
    <xf numFmtId="3" fontId="88" fillId="4" borderId="0" xfId="0" applyNumberFormat="1" applyFont="1" applyFill="1" applyAlignment="1">
      <alignment horizontal="right"/>
    </xf>
    <xf numFmtId="167" fontId="15" fillId="4" borderId="0" xfId="0" applyNumberFormat="1" applyFont="1" applyFill="1" applyAlignment="1">
      <alignment horizontal="right"/>
    </xf>
    <xf numFmtId="164" fontId="33" fillId="0" borderId="0" xfId="0" applyNumberFormat="1" applyFont="1" applyAlignment="1">
      <alignment horizontal="right"/>
    </xf>
    <xf numFmtId="170" fontId="33" fillId="0" borderId="0" xfId="0" applyNumberFormat="1" applyFont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50" fillId="0" borderId="0" xfId="0" applyNumberFormat="1" applyFont="1" applyAlignment="1">
      <alignment horizontal="right"/>
    </xf>
    <xf numFmtId="0" fontId="12" fillId="2" borderId="0" xfId="0" applyFont="1" applyFill="1" applyAlignment="1">
      <alignment horizontal="left" vertical="center"/>
    </xf>
    <xf numFmtId="0" fontId="9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/>
    </xf>
    <xf numFmtId="0" fontId="94" fillId="4" borderId="0" xfId="0" applyFont="1" applyFill="1" applyAlignment="1">
      <alignment horizontal="center" vertical="center"/>
    </xf>
    <xf numFmtId="0" fontId="95" fillId="4" borderId="0" xfId="0" applyFont="1" applyFill="1" applyAlignment="1">
      <alignment horizontal="center" vertical="center"/>
    </xf>
    <xf numFmtId="0" fontId="96" fillId="4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 indent="1"/>
    </xf>
    <xf numFmtId="0" fontId="47" fillId="4" borderId="0" xfId="0" applyFont="1" applyFill="1" applyAlignment="1">
      <alignment horizontal="right" vertical="center"/>
    </xf>
    <xf numFmtId="0" fontId="10" fillId="4" borderId="0" xfId="0" applyFont="1" applyFill="1"/>
    <xf numFmtId="0" fontId="25" fillId="4" borderId="0" xfId="0" applyFont="1" applyFill="1"/>
    <xf numFmtId="0" fontId="65" fillId="4" borderId="0" xfId="0" applyFont="1" applyFill="1" applyAlignment="1">
      <alignment horizontal="right" vertical="center"/>
    </xf>
    <xf numFmtId="0" fontId="67" fillId="4" borderId="0" xfId="0" applyFont="1" applyFill="1" applyAlignment="1">
      <alignment horizontal="right" vertical="center"/>
    </xf>
    <xf numFmtId="0" fontId="13" fillId="5" borderId="0" xfId="0" applyFont="1" applyFill="1" applyAlignment="1">
      <alignment horizontal="center" vertical="center"/>
    </xf>
    <xf numFmtId="0" fontId="97" fillId="2" borderId="0" xfId="0" applyFont="1" applyFill="1" applyAlignment="1">
      <alignment horizontal="center" vertical="center"/>
    </xf>
    <xf numFmtId="0" fontId="98" fillId="2" borderId="0" xfId="0" applyFont="1" applyFill="1" applyAlignment="1">
      <alignment horizontal="center" vertical="center"/>
    </xf>
    <xf numFmtId="0" fontId="99" fillId="2" borderId="0" xfId="0" applyFont="1" applyFill="1" applyAlignment="1">
      <alignment horizontal="center" vertical="center"/>
    </xf>
    <xf numFmtId="0" fontId="70" fillId="5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01" fillId="4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left" vertical="center" indent="2"/>
    </xf>
    <xf numFmtId="0" fontId="70" fillId="4" borderId="0" xfId="0" applyFont="1" applyFill="1" applyAlignment="1">
      <alignment horizontal="right" vertical="center"/>
    </xf>
    <xf numFmtId="0" fontId="102" fillId="4" borderId="0" xfId="0" applyFont="1" applyFill="1" applyAlignment="1">
      <alignment horizontal="right" vertical="center"/>
    </xf>
    <xf numFmtId="0" fontId="71" fillId="4" borderId="0" xfId="0" applyFont="1" applyFill="1" applyAlignment="1">
      <alignment horizontal="right" vertical="center"/>
    </xf>
    <xf numFmtId="0" fontId="87" fillId="4" borderId="0" xfId="0" applyFont="1" applyFill="1" applyAlignment="1">
      <alignment horizontal="right" vertical="center"/>
    </xf>
    <xf numFmtId="0" fontId="103" fillId="4" borderId="0" xfId="0" applyFont="1" applyFill="1" applyAlignment="1">
      <alignment horizontal="right" vertical="center"/>
    </xf>
    <xf numFmtId="0" fontId="20" fillId="4" borderId="0" xfId="0" applyFont="1" applyFill="1"/>
    <xf numFmtId="0" fontId="10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703C"/>
      <rgbColor rgb="FF000080"/>
      <rgbColor rgb="FF808000"/>
      <rgbColor rgb="FF800080"/>
      <rgbColor rgb="FF006D77"/>
      <rgbColor rgb="FFBFBFBF"/>
      <rgbColor rgb="FF808080"/>
      <rgbColor rgb="FF9999FF"/>
      <rgbColor rgb="FF993366"/>
      <rgbColor rgb="FFFFF3CD"/>
      <rgbColor rgb="FFEBF7EF"/>
      <rgbColor rgb="FF660066"/>
      <rgbColor rgb="FFFF8080"/>
      <rgbColor rgb="FF0070C0"/>
      <rgbColor rgb="FFFDECE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E2EFDA"/>
      <rgbColor rgb="FFFCE4D6"/>
      <rgbColor rgb="FFF2F4F7"/>
      <rgbColor rgb="FFFF99CC"/>
      <rgbColor rgb="FFCC99FF"/>
      <rgbColor rgb="FFF0D080"/>
      <rgbColor rgb="FF3366FF"/>
      <rgbColor rgb="FF33CCCC"/>
      <rgbColor rgb="FFC9A84C"/>
      <rgbColor rgb="FFFFCC00"/>
      <rgbColor rgb="FFFF8C00"/>
      <rgbColor rgb="FFFF6600"/>
      <rgbColor rgb="FF666699"/>
      <rgbColor rgb="FF8A95A3"/>
      <rgbColor rgb="FF1C3553"/>
      <rgbColor rgb="FF339966"/>
      <rgbColor rgb="FF0D1B2A"/>
      <rgbColor rgb="FF333300"/>
      <rgbColor rgb="FF993300"/>
      <rgbColor rgb="FF993366"/>
      <rgbColor rgb="FF333399"/>
      <rgbColor rgb="FF1B2A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Royal_Marine_Investor_Model.xlsx" TargetMode="External"/><Relationship Id="rId13" Type="http://schemas.openxmlformats.org/officeDocument/2006/relationships/hyperlink" Target="Royal_Marine_Investor_Model.xlsx" TargetMode="External"/><Relationship Id="rId3" Type="http://schemas.openxmlformats.org/officeDocument/2006/relationships/hyperlink" Target="Royal_Marine_Investor_Model.xlsx" TargetMode="External"/><Relationship Id="rId7" Type="http://schemas.openxmlformats.org/officeDocument/2006/relationships/hyperlink" Target="Royal_Marine_Investor_Model.xlsx" TargetMode="External"/><Relationship Id="rId12" Type="http://schemas.openxmlformats.org/officeDocument/2006/relationships/hyperlink" Target="Royal_Marine_Investor_Model.xlsx" TargetMode="External"/><Relationship Id="rId2" Type="http://schemas.openxmlformats.org/officeDocument/2006/relationships/hyperlink" Target="Royal_Marine_Investor_Model.xlsx" TargetMode="External"/><Relationship Id="rId1" Type="http://schemas.openxmlformats.org/officeDocument/2006/relationships/hyperlink" Target="Royal_Marine_Investor_Model.xlsx" TargetMode="External"/><Relationship Id="rId6" Type="http://schemas.openxmlformats.org/officeDocument/2006/relationships/hyperlink" Target="Royal_Marine_Investor_Model.xlsx" TargetMode="External"/><Relationship Id="rId11" Type="http://schemas.openxmlformats.org/officeDocument/2006/relationships/hyperlink" Target="Royal_Marine_Investor_Model.xlsx" TargetMode="External"/><Relationship Id="rId5" Type="http://schemas.openxmlformats.org/officeDocument/2006/relationships/hyperlink" Target="Royal_Marine_Investor_Model.xlsx" TargetMode="External"/><Relationship Id="rId15" Type="http://schemas.openxmlformats.org/officeDocument/2006/relationships/hyperlink" Target="Royal_Marine_Investor_Model.xlsx" TargetMode="External"/><Relationship Id="rId10" Type="http://schemas.openxmlformats.org/officeDocument/2006/relationships/hyperlink" Target="Royal_Marine_Investor_Model.xlsx" TargetMode="External"/><Relationship Id="rId4" Type="http://schemas.openxmlformats.org/officeDocument/2006/relationships/hyperlink" Target="Royal_Marine_Investor_Model.xlsx" TargetMode="External"/><Relationship Id="rId9" Type="http://schemas.openxmlformats.org/officeDocument/2006/relationships/hyperlink" Target="Royal_Marine_Investor_Model.xlsx" TargetMode="External"/><Relationship Id="rId14" Type="http://schemas.openxmlformats.org/officeDocument/2006/relationships/hyperlink" Target="Royal_Marine_Investor_Mode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1B2A"/>
  </sheetPr>
  <dimension ref="A1:AC56"/>
  <sheetViews>
    <sheetView showGridLines="0" tabSelected="1" zoomScaleNormal="100" workbookViewId="0">
      <selection activeCell="C3" sqref="C3"/>
    </sheetView>
  </sheetViews>
  <sheetFormatPr defaultColWidth="0" defaultRowHeight="15" zeroHeight="1"/>
  <cols>
    <col min="1" max="1" width="4" customWidth="1"/>
    <col min="2" max="13" width="13" customWidth="1"/>
    <col min="30" max="16384" width="8.7109375" hidden="1"/>
  </cols>
  <sheetData>
    <row r="1" spans="1:29" ht="15.7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9" ht="15.7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29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5"/>
      <c r="O3" s="15"/>
      <c r="P3" s="15"/>
      <c r="Q3" s="15"/>
      <c r="R3" s="15"/>
      <c r="S3" s="15"/>
    </row>
    <row r="4" spans="1:29" ht="15.7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9" ht="15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9" ht="15.75" customHeight="1">
      <c r="A6" s="15"/>
      <c r="B6" s="14" t="s">
        <v>0</v>
      </c>
      <c r="C6" s="14"/>
      <c r="D6" s="14"/>
      <c r="E6" s="13" t="s">
        <v>607</v>
      </c>
      <c r="F6" s="13"/>
      <c r="G6" s="13"/>
      <c r="H6" s="13"/>
      <c r="I6" s="13"/>
      <c r="J6" s="13"/>
      <c r="K6" s="13"/>
      <c r="L6" s="13"/>
      <c r="M6" s="13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9" ht="15.75" customHeight="1">
      <c r="A7" s="15"/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9" ht="15.75" customHeight="1">
      <c r="A8" s="15"/>
      <c r="B8" s="14"/>
      <c r="C8" s="14"/>
      <c r="D8" s="14"/>
      <c r="E8" s="12" t="s">
        <v>1</v>
      </c>
      <c r="F8" s="12"/>
      <c r="G8" s="12"/>
      <c r="H8" s="12"/>
      <c r="I8" s="12"/>
      <c r="J8" s="12"/>
      <c r="K8" s="12"/>
      <c r="L8" s="12"/>
      <c r="M8" s="12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29" ht="15.75" customHeight="1">
      <c r="A9" s="15"/>
      <c r="B9" s="14"/>
      <c r="C9" s="14"/>
      <c r="D9" s="14"/>
      <c r="E9" s="12"/>
      <c r="F9" s="12"/>
      <c r="G9" s="12"/>
      <c r="H9" s="12"/>
      <c r="I9" s="12"/>
      <c r="J9" s="12"/>
      <c r="K9" s="12"/>
      <c r="L9" s="12"/>
      <c r="M9" s="1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5.7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24" customHeight="1">
      <c r="A11" s="15"/>
      <c r="B11" s="11" t="s">
        <v>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ht="24" customHeight="1">
      <c r="A12" s="1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15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29" ht="3" customHeight="1">
      <c r="A14" s="1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ht="15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ht="18" customHeight="1">
      <c r="A16" s="15"/>
      <c r="B16" s="9" t="s">
        <v>3</v>
      </c>
      <c r="C16" s="9"/>
      <c r="D16" s="9"/>
      <c r="E16" s="9"/>
      <c r="F16" s="9"/>
      <c r="G16" s="8" t="s">
        <v>4</v>
      </c>
      <c r="H16" s="8"/>
      <c r="I16" s="8"/>
      <c r="J16" s="8"/>
      <c r="K16" s="8"/>
      <c r="L16" s="8"/>
      <c r="M16" s="8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spans="1:29" ht="15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spans="1:29" ht="18" customHeight="1">
      <c r="A18" s="15"/>
      <c r="B18" s="9" t="s">
        <v>5</v>
      </c>
      <c r="C18" s="9"/>
      <c r="D18" s="9"/>
      <c r="E18" s="9"/>
      <c r="F18" s="9"/>
      <c r="G18" s="8" t="s">
        <v>6</v>
      </c>
      <c r="H18" s="8"/>
      <c r="I18" s="8"/>
      <c r="J18" s="8"/>
      <c r="K18" s="8"/>
      <c r="L18" s="8"/>
      <c r="M18" s="8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spans="1:29" ht="15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29" ht="18" customHeight="1">
      <c r="A20" s="15"/>
      <c r="B20" s="9" t="s">
        <v>7</v>
      </c>
      <c r="C20" s="9"/>
      <c r="D20" s="9"/>
      <c r="E20" s="9"/>
      <c r="F20" s="9"/>
      <c r="G20" s="8" t="s">
        <v>8</v>
      </c>
      <c r="H20" s="8"/>
      <c r="I20" s="8"/>
      <c r="J20" s="8"/>
      <c r="K20" s="8"/>
      <c r="L20" s="8"/>
      <c r="M20" s="8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spans="1:29" ht="18" customHeight="1">
      <c r="A22" s="15"/>
      <c r="B22" s="9" t="s">
        <v>9</v>
      </c>
      <c r="C22" s="9"/>
      <c r="D22" s="9"/>
      <c r="E22" s="9"/>
      <c r="F22" s="9"/>
      <c r="G22" s="8" t="s">
        <v>10</v>
      </c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</row>
    <row r="23" spans="1:29" ht="15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spans="1:29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</row>
    <row r="25" spans="1:29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</row>
    <row r="26" spans="1:29" ht="21.75" customHeight="1">
      <c r="A26" s="15"/>
      <c r="B26" s="7" t="s">
        <v>11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spans="1:29" ht="15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spans="1:29" ht="18" customHeight="1">
      <c r="A28" s="15"/>
      <c r="B28" s="6" t="s">
        <v>12</v>
      </c>
      <c r="C28" s="6"/>
      <c r="D28" s="6"/>
      <c r="E28" s="6"/>
      <c r="F28" s="6" t="s">
        <v>13</v>
      </c>
      <c r="G28" s="6"/>
      <c r="H28" s="6"/>
      <c r="I28" s="6"/>
      <c r="J28" s="6" t="s">
        <v>14</v>
      </c>
      <c r="K28" s="6"/>
      <c r="L28" s="6"/>
      <c r="M28" s="6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29" ht="21.75" customHeight="1">
      <c r="A29" s="15"/>
      <c r="B29" s="5" t="s">
        <v>15</v>
      </c>
      <c r="C29" s="5"/>
      <c r="D29" s="5"/>
      <c r="E29" s="5"/>
      <c r="F29" s="5" t="s">
        <v>16</v>
      </c>
      <c r="G29" s="5"/>
      <c r="H29" s="5"/>
      <c r="I29" s="5"/>
      <c r="J29" s="5" t="s">
        <v>17</v>
      </c>
      <c r="K29" s="5"/>
      <c r="L29" s="5"/>
      <c r="M29" s="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29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spans="1:29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spans="1:29" ht="18" customHeight="1">
      <c r="A32" s="15"/>
      <c r="B32" s="6" t="s">
        <v>18</v>
      </c>
      <c r="C32" s="6"/>
      <c r="D32" s="6"/>
      <c r="E32" s="6"/>
      <c r="F32" s="6" t="s">
        <v>19</v>
      </c>
      <c r="G32" s="6"/>
      <c r="H32" s="6"/>
      <c r="I32" s="6"/>
      <c r="J32" s="6" t="s">
        <v>20</v>
      </c>
      <c r="K32" s="6"/>
      <c r="L32" s="6"/>
      <c r="M32" s="6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ht="21.75" customHeight="1">
      <c r="A33" s="15"/>
      <c r="B33" s="5" t="s">
        <v>21</v>
      </c>
      <c r="C33" s="5"/>
      <c r="D33" s="5"/>
      <c r="E33" s="5"/>
      <c r="F33" s="5" t="s">
        <v>22</v>
      </c>
      <c r="G33" s="5"/>
      <c r="H33" s="5"/>
      <c r="I33" s="5"/>
      <c r="J33" s="5" t="s">
        <v>23</v>
      </c>
      <c r="K33" s="5"/>
      <c r="L33" s="5"/>
      <c r="M33" s="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</row>
    <row r="36" spans="1:29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1:29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spans="1:29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</row>
    <row r="39" spans="1:2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</row>
    <row r="40" spans="1:29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1:29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spans="1:29" ht="15.75" customHeight="1">
      <c r="A42" s="15"/>
      <c r="B42" s="4" t="s">
        <v>24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</row>
    <row r="43" spans="1:29" ht="15.75" customHeight="1">
      <c r="A43" s="1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</row>
    <row r="44" spans="1:29" ht="15.75" customHeight="1">
      <c r="A44" s="1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spans="1:29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</row>
    <row r="46" spans="1:29" ht="15.75" customHeight="1">
      <c r="A46" s="15"/>
      <c r="B46" s="3" t="s">
        <v>25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</row>
    <row r="47" spans="1:29" ht="15.75" customHeight="1">
      <c r="A47" s="1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</row>
    <row r="48" spans="1:29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</row>
    <row r="49" spans="1:29" ht="15.75" customHeight="1">
      <c r="A49" s="15"/>
      <c r="B49" s="2" t="s">
        <v>608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29" ht="15.75" customHeight="1">
      <c r="A50" s="1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29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</row>
    <row r="52" spans="1:29" ht="6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29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</row>
    <row r="54" spans="1:29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</row>
    <row r="55" spans="1:29" ht="1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spans="1:29" ht="1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</row>
  </sheetData>
  <mergeCells count="29">
    <mergeCell ref="B49:M50"/>
    <mergeCell ref="B33:E33"/>
    <mergeCell ref="F33:I33"/>
    <mergeCell ref="J33:M33"/>
    <mergeCell ref="B42:M44"/>
    <mergeCell ref="B46:M47"/>
    <mergeCell ref="B29:E29"/>
    <mergeCell ref="F29:I29"/>
    <mergeCell ref="J29:M29"/>
    <mergeCell ref="B32:E32"/>
    <mergeCell ref="F32:I32"/>
    <mergeCell ref="J32:M32"/>
    <mergeCell ref="B22:F22"/>
    <mergeCell ref="G22:M22"/>
    <mergeCell ref="B26:M26"/>
    <mergeCell ref="B28:E28"/>
    <mergeCell ref="F28:I28"/>
    <mergeCell ref="J28:M28"/>
    <mergeCell ref="B16:F16"/>
    <mergeCell ref="G16:M16"/>
    <mergeCell ref="B18:F18"/>
    <mergeCell ref="G18:M18"/>
    <mergeCell ref="B20:F20"/>
    <mergeCell ref="G20:M20"/>
    <mergeCell ref="B6:D9"/>
    <mergeCell ref="E6:M7"/>
    <mergeCell ref="E8:M9"/>
    <mergeCell ref="B11:M12"/>
    <mergeCell ref="B14:M14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3C"/>
  </sheetPr>
  <dimension ref="A1:E2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3" sqref="C13"/>
    </sheetView>
  </sheetViews>
  <sheetFormatPr defaultColWidth="8.7109375" defaultRowHeight="15"/>
  <cols>
    <col min="1" max="1" width="3" customWidth="1"/>
    <col min="2" max="2" width="36" customWidth="1"/>
    <col min="3" max="5" width="18" customWidth="1"/>
  </cols>
  <sheetData>
    <row r="1" spans="1:5" ht="27.75" customHeight="1">
      <c r="A1" s="150" t="s">
        <v>387</v>
      </c>
      <c r="B1" s="150"/>
      <c r="C1" s="150"/>
      <c r="D1" s="150"/>
      <c r="E1" s="150"/>
    </row>
    <row r="2" spans="1:5" ht="15" customHeight="1">
      <c r="B2" s="75" t="s">
        <v>388</v>
      </c>
      <c r="C2" s="95" t="s">
        <v>93</v>
      </c>
      <c r="D2" s="95" t="s">
        <v>94</v>
      </c>
      <c r="E2" s="95" t="s">
        <v>95</v>
      </c>
    </row>
    <row r="3" spans="1:5" ht="21.75" customHeight="1">
      <c r="A3" s="159" t="s">
        <v>389</v>
      </c>
      <c r="B3" s="159"/>
      <c r="C3" s="159"/>
      <c r="D3" s="159"/>
      <c r="E3" s="159"/>
    </row>
    <row r="4" spans="1:5" ht="16.5" customHeight="1">
      <c r="B4" s="36" t="s">
        <v>390</v>
      </c>
      <c r="C4" s="116">
        <v>-1113000</v>
      </c>
      <c r="D4" s="117">
        <v>-1113000</v>
      </c>
      <c r="E4" s="118">
        <v>-1113000</v>
      </c>
    </row>
    <row r="5" spans="1:5" ht="16.5" customHeight="1">
      <c r="B5" s="36" t="s">
        <v>344</v>
      </c>
      <c r="C5" s="119">
        <v>1824000</v>
      </c>
      <c r="D5" s="117">
        <v>2160000</v>
      </c>
      <c r="E5" s="118">
        <v>1320000</v>
      </c>
    </row>
    <row r="6" spans="1:5" ht="16.5" customHeight="1">
      <c r="B6" s="36" t="s">
        <v>345</v>
      </c>
      <c r="C6" s="119">
        <v>2496000</v>
      </c>
      <c r="D6" s="117">
        <v>2916000</v>
      </c>
      <c r="E6" s="118">
        <v>1872000</v>
      </c>
    </row>
    <row r="7" spans="1:5" ht="16.5" customHeight="1">
      <c r="B7" s="36" t="s">
        <v>346</v>
      </c>
      <c r="C7" s="119">
        <v>3036000</v>
      </c>
      <c r="D7" s="117">
        <v>3696000</v>
      </c>
      <c r="E7" s="118">
        <v>2256000</v>
      </c>
    </row>
    <row r="8" spans="1:5" ht="16.5" customHeight="1">
      <c r="B8" s="36" t="s">
        <v>347</v>
      </c>
      <c r="C8" s="119">
        <v>3756000</v>
      </c>
      <c r="D8" s="117">
        <v>4656000</v>
      </c>
      <c r="E8" s="118">
        <v>2736000</v>
      </c>
    </row>
    <row r="9" spans="1:5" ht="16.5" customHeight="1">
      <c r="B9" s="36" t="s">
        <v>348</v>
      </c>
      <c r="C9" s="119">
        <v>4536000</v>
      </c>
      <c r="D9" s="117">
        <v>5736000</v>
      </c>
      <c r="E9" s="118">
        <v>3276000</v>
      </c>
    </row>
    <row r="11" spans="1:5" ht="21.75" customHeight="1">
      <c r="A11" s="152" t="s">
        <v>391</v>
      </c>
      <c r="B11" s="152"/>
      <c r="C11" s="152"/>
      <c r="D11" s="152"/>
      <c r="E11" s="152"/>
    </row>
    <row r="12" spans="1:5" ht="19.5" customHeight="1">
      <c r="B12" s="113" t="s">
        <v>392</v>
      </c>
      <c r="C12" s="120">
        <f>IFERROR(IRR(C4:C9),0)</f>
        <v>1.9190266623858481</v>
      </c>
      <c r="D12" s="120">
        <f>IFERROR(IRR(D4:D9),0)</f>
        <v>2.2371685994317696</v>
      </c>
      <c r="E12" s="120">
        <f>IFERROR(IRR(E4:E9),0)</f>
        <v>1.4547719563774781</v>
      </c>
    </row>
    <row r="13" spans="1:5" ht="19.5" customHeight="1">
      <c r="B13" s="36" t="s">
        <v>393</v>
      </c>
      <c r="C13" s="121">
        <f>IFERROR(NPV(ASSUMPTIONS!F10,C5:C9)+C4,0)</f>
        <v>7993184.7978956457</v>
      </c>
      <c r="D13" s="122">
        <f>IFERROR(NPV(ASSUMPTIONS!F10,D5:D9)+D4,0)</f>
        <v>9970005.4441889934</v>
      </c>
      <c r="E13" s="123">
        <f>IFERROR(NPV(ASSUMPTIONS!F10,E5:E9)+E4,0)</f>
        <v>5566324.723861428</v>
      </c>
    </row>
    <row r="14" spans="1:5" ht="19.5" customHeight="1">
      <c r="B14" s="36" t="s">
        <v>394</v>
      </c>
      <c r="C14" s="119">
        <f>SUM(C5:C9)</f>
        <v>15648000</v>
      </c>
      <c r="D14" s="117">
        <f>SUM(D5:D9)</f>
        <v>19164000</v>
      </c>
      <c r="E14" s="118">
        <f>SUM(E5:E9)</f>
        <v>11460000</v>
      </c>
    </row>
    <row r="15" spans="1:5" ht="19.5" customHeight="1">
      <c r="B15" s="36" t="s">
        <v>395</v>
      </c>
      <c r="C15" s="119">
        <f>ABS(C4)</f>
        <v>1113000</v>
      </c>
      <c r="D15" s="117">
        <f>ABS(D4)</f>
        <v>1113000</v>
      </c>
      <c r="E15" s="118">
        <f>ABS(E4)</f>
        <v>1113000</v>
      </c>
    </row>
    <row r="16" spans="1:5" ht="19.5" customHeight="1">
      <c r="B16" s="113" t="s">
        <v>396</v>
      </c>
      <c r="C16" s="124">
        <f>IFERROR(C14/C15,0)</f>
        <v>14.059299191374663</v>
      </c>
      <c r="D16" s="124">
        <f>IFERROR(D14/D15,0)</f>
        <v>17.218328840970351</v>
      </c>
      <c r="E16" s="124">
        <f>IFERROR(E14/E15,0)</f>
        <v>10.296495956873315</v>
      </c>
    </row>
    <row r="17" spans="1:5" ht="19.5" customHeight="1">
      <c r="B17" s="36" t="s">
        <v>397</v>
      </c>
      <c r="C17" s="125">
        <v>30</v>
      </c>
      <c r="D17" s="126">
        <v>24</v>
      </c>
      <c r="E17" s="127">
        <v>38</v>
      </c>
    </row>
    <row r="18" spans="1:5" ht="19.5" customHeight="1">
      <c r="B18" s="36" t="s">
        <v>398</v>
      </c>
      <c r="C18" s="128">
        <f>IFERROR((C14-C15)/C15,0)</f>
        <v>13.059299191374663</v>
      </c>
      <c r="D18" s="129">
        <f>IFERROR((D14-D15)/D15,0)</f>
        <v>16.218328840970351</v>
      </c>
      <c r="E18" s="130">
        <f>IFERROR((E14-E15)/E15,0)</f>
        <v>9.296495956873315</v>
      </c>
    </row>
    <row r="21" spans="1:5" ht="21.75" customHeight="1">
      <c r="A21" s="159" t="s">
        <v>399</v>
      </c>
      <c r="B21" s="159"/>
      <c r="C21" s="159"/>
      <c r="D21" s="159"/>
      <c r="E21" s="159"/>
    </row>
    <row r="22" spans="1:5" ht="16.5" customHeight="1">
      <c r="B22" s="36" t="s">
        <v>400</v>
      </c>
      <c r="C22" s="131">
        <v>0.2</v>
      </c>
      <c r="D22" s="131">
        <v>0.2</v>
      </c>
      <c r="E22" s="131">
        <v>0.2</v>
      </c>
    </row>
    <row r="23" spans="1:5" ht="16.5" customHeight="1">
      <c r="B23" s="36" t="s">
        <v>401</v>
      </c>
      <c r="C23" s="132">
        <f>1-C22</f>
        <v>0.8</v>
      </c>
      <c r="D23" s="132">
        <f>1-D22</f>
        <v>0.8</v>
      </c>
      <c r="E23" s="132">
        <f>1-E22</f>
        <v>0.8</v>
      </c>
    </row>
  </sheetData>
  <mergeCells count="4">
    <mergeCell ref="A1:E1"/>
    <mergeCell ref="A3:E3"/>
    <mergeCell ref="A11:E11"/>
    <mergeCell ref="A21:E21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3C"/>
  </sheetPr>
  <dimension ref="A1:L3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L1"/>
    </sheetView>
  </sheetViews>
  <sheetFormatPr defaultColWidth="8.7109375" defaultRowHeight="15"/>
  <cols>
    <col min="1" max="1" width="3" customWidth="1"/>
    <col min="2" max="2" width="20" customWidth="1"/>
    <col min="3" max="7" width="14" customWidth="1"/>
  </cols>
  <sheetData>
    <row r="1" spans="1:12" ht="27.75" customHeight="1">
      <c r="A1" s="150" t="s">
        <v>402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3" spans="1:12" ht="19.5" customHeight="1">
      <c r="A3" s="159" t="s">
        <v>403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2" ht="18" customHeight="1">
      <c r="B4" s="133" t="s">
        <v>404</v>
      </c>
      <c r="C4" s="95" t="s">
        <v>405</v>
      </c>
      <c r="D4" s="95" t="s">
        <v>406</v>
      </c>
      <c r="E4" s="95" t="s">
        <v>407</v>
      </c>
      <c r="F4" s="95" t="s">
        <v>408</v>
      </c>
      <c r="G4" s="95" t="s">
        <v>409</v>
      </c>
    </row>
    <row r="5" spans="1:12" ht="16.5" customHeight="1">
      <c r="B5" s="134" t="s">
        <v>410</v>
      </c>
      <c r="C5" s="135">
        <v>18619861</v>
      </c>
      <c r="D5" s="135">
        <v>19926578</v>
      </c>
      <c r="E5" s="135">
        <v>21523678</v>
      </c>
      <c r="F5" s="135">
        <v>23520052</v>
      </c>
      <c r="G5" s="135">
        <v>26086818</v>
      </c>
    </row>
    <row r="6" spans="1:12" ht="16.5" customHeight="1">
      <c r="B6" s="134" t="s">
        <v>411</v>
      </c>
      <c r="C6" s="135">
        <v>15660245</v>
      </c>
      <c r="D6" s="135">
        <v>16518671</v>
      </c>
      <c r="E6" s="135">
        <v>17533173</v>
      </c>
      <c r="F6" s="135">
        <v>18750576</v>
      </c>
      <c r="G6" s="135">
        <v>20238514</v>
      </c>
    </row>
    <row r="7" spans="1:12" ht="16.5" customHeight="1">
      <c r="B7" s="134" t="s">
        <v>412</v>
      </c>
      <c r="C7" s="135">
        <v>13504231</v>
      </c>
      <c r="D7" s="135">
        <v>14099065</v>
      </c>
      <c r="E7" s="135">
        <v>14785411</v>
      </c>
      <c r="F7" s="135">
        <v>15586148</v>
      </c>
      <c r="G7" s="135">
        <v>16532474</v>
      </c>
    </row>
    <row r="8" spans="1:12" ht="16.5" customHeight="1">
      <c r="B8" s="134" t="s">
        <v>413</v>
      </c>
      <c r="C8" s="135">
        <v>11866448</v>
      </c>
      <c r="D8" s="135">
        <v>12295342</v>
      </c>
      <c r="E8" s="135">
        <v>12781421</v>
      </c>
      <c r="F8" s="135">
        <v>13336941</v>
      </c>
      <c r="G8" s="135">
        <v>13977925</v>
      </c>
    </row>
    <row r="9" spans="1:12" ht="16.5" customHeight="1">
      <c r="B9" s="134" t="s">
        <v>23</v>
      </c>
      <c r="C9" s="135">
        <v>10581903</v>
      </c>
      <c r="D9" s="135">
        <v>10900833</v>
      </c>
      <c r="E9" s="135">
        <v>11257284</v>
      </c>
      <c r="F9" s="135">
        <v>11658292</v>
      </c>
      <c r="G9" s="135">
        <v>12112767</v>
      </c>
    </row>
    <row r="10" spans="1:12" ht="16.5" customHeight="1">
      <c r="B10" s="134" t="s">
        <v>414</v>
      </c>
      <c r="C10" s="135">
        <v>9548625</v>
      </c>
      <c r="D10" s="135">
        <v>9791710</v>
      </c>
      <c r="E10" s="135">
        <v>10060383</v>
      </c>
      <c r="F10" s="135">
        <v>10358908</v>
      </c>
      <c r="G10" s="135">
        <v>10692554</v>
      </c>
    </row>
    <row r="11" spans="1:12" ht="16.5" customHeight="1">
      <c r="B11" s="134" t="s">
        <v>415</v>
      </c>
      <c r="C11" s="135">
        <v>8700246</v>
      </c>
      <c r="D11" s="135">
        <v>8889310</v>
      </c>
      <c r="E11" s="135">
        <v>9096380</v>
      </c>
      <c r="F11" s="135">
        <v>9324157</v>
      </c>
      <c r="G11" s="135">
        <v>9575911</v>
      </c>
    </row>
    <row r="14" spans="1:12" ht="19.5" customHeight="1">
      <c r="A14" s="159" t="s">
        <v>416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</row>
    <row r="15" spans="1:12" ht="18" customHeight="1">
      <c r="B15" s="133" t="s">
        <v>417</v>
      </c>
      <c r="C15" s="95" t="s">
        <v>418</v>
      </c>
      <c r="D15" s="95" t="s">
        <v>419</v>
      </c>
      <c r="E15" s="95" t="s">
        <v>420</v>
      </c>
      <c r="F15" s="95" t="s">
        <v>421</v>
      </c>
      <c r="G15" s="95" t="s">
        <v>422</v>
      </c>
      <c r="H15" s="95" t="s">
        <v>423</v>
      </c>
    </row>
    <row r="16" spans="1:12" ht="16.5" customHeight="1">
      <c r="B16" s="134" t="s">
        <v>424</v>
      </c>
      <c r="C16" s="136">
        <v>0</v>
      </c>
      <c r="D16" s="135">
        <v>13571</v>
      </c>
      <c r="E16" s="135">
        <v>27143</v>
      </c>
      <c r="F16" s="135">
        <v>40714</v>
      </c>
      <c r="G16" s="135">
        <v>54286</v>
      </c>
      <c r="H16" s="135">
        <v>67857</v>
      </c>
    </row>
    <row r="17" spans="1:12" ht="16.5" customHeight="1">
      <c r="B17" s="134" t="s">
        <v>425</v>
      </c>
      <c r="C17" s="135">
        <v>19000</v>
      </c>
      <c r="D17" s="135">
        <v>35286</v>
      </c>
      <c r="E17" s="135">
        <v>51571</v>
      </c>
      <c r="F17" s="135">
        <v>67857</v>
      </c>
      <c r="G17" s="135">
        <v>84143</v>
      </c>
      <c r="H17" s="135">
        <v>100429</v>
      </c>
    </row>
    <row r="18" spans="1:12" ht="16.5" customHeight="1">
      <c r="B18" s="134" t="s">
        <v>426</v>
      </c>
      <c r="C18" s="135">
        <v>38000</v>
      </c>
      <c r="D18" s="135">
        <v>57000</v>
      </c>
      <c r="E18" s="135">
        <v>76000</v>
      </c>
      <c r="F18" s="135">
        <v>95000</v>
      </c>
      <c r="G18" s="135">
        <v>114000</v>
      </c>
      <c r="H18" s="135">
        <v>133000</v>
      </c>
    </row>
    <row r="19" spans="1:12" ht="16.5" customHeight="1">
      <c r="B19" s="134" t="s">
        <v>427</v>
      </c>
      <c r="C19" s="135">
        <v>57000</v>
      </c>
      <c r="D19" s="135">
        <v>78714</v>
      </c>
      <c r="E19" s="135">
        <v>100429</v>
      </c>
      <c r="F19" s="135">
        <v>122143</v>
      </c>
      <c r="G19" s="135">
        <v>143857</v>
      </c>
      <c r="H19" s="135">
        <v>165571</v>
      </c>
    </row>
    <row r="20" spans="1:12" ht="16.5" customHeight="1">
      <c r="B20" s="134" t="s">
        <v>428</v>
      </c>
      <c r="C20" s="135">
        <v>76000</v>
      </c>
      <c r="D20" s="135">
        <v>100429</v>
      </c>
      <c r="E20" s="135">
        <v>124857</v>
      </c>
      <c r="F20" s="135">
        <v>149286</v>
      </c>
      <c r="G20" s="135">
        <v>173714</v>
      </c>
      <c r="H20" s="135">
        <v>198143</v>
      </c>
    </row>
    <row r="21" spans="1:12" ht="16.5" customHeight="1">
      <c r="B21" s="134" t="s">
        <v>429</v>
      </c>
      <c r="C21" s="135">
        <v>95000</v>
      </c>
      <c r="D21" s="135">
        <v>122143</v>
      </c>
      <c r="E21" s="135">
        <v>149286</v>
      </c>
      <c r="F21" s="135">
        <v>176429</v>
      </c>
      <c r="G21" s="135">
        <v>203571</v>
      </c>
      <c r="H21" s="135">
        <v>230714</v>
      </c>
    </row>
    <row r="22" spans="1:12" ht="16.5" customHeight="1">
      <c r="B22" s="134" t="s">
        <v>430</v>
      </c>
      <c r="C22" s="135">
        <v>133000</v>
      </c>
      <c r="D22" s="135">
        <v>165571</v>
      </c>
      <c r="E22" s="135">
        <v>198143</v>
      </c>
      <c r="F22" s="135">
        <v>230714</v>
      </c>
      <c r="G22" s="135">
        <v>263286</v>
      </c>
      <c r="H22" s="135">
        <v>295857</v>
      </c>
    </row>
    <row r="25" spans="1:12" ht="19.5" customHeight="1">
      <c r="A25" s="159" t="s">
        <v>431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</row>
    <row r="26" spans="1:12" ht="18" customHeight="1">
      <c r="B26" s="133" t="s">
        <v>432</v>
      </c>
      <c r="C26" s="95" t="s">
        <v>433</v>
      </c>
      <c r="D26" s="95" t="s">
        <v>434</v>
      </c>
      <c r="E26" s="95" t="s">
        <v>435</v>
      </c>
      <c r="F26" s="95" t="s">
        <v>436</v>
      </c>
    </row>
    <row r="27" spans="1:12" ht="16.5" customHeight="1">
      <c r="B27" s="134" t="s">
        <v>437</v>
      </c>
      <c r="C27" s="135">
        <v>210000</v>
      </c>
      <c r="D27" s="135">
        <v>245000</v>
      </c>
      <c r="E27" s="135">
        <v>280000</v>
      </c>
      <c r="F27" s="135">
        <v>315000</v>
      </c>
    </row>
    <row r="28" spans="1:12" ht="16.5" customHeight="1">
      <c r="B28" s="134" t="s">
        <v>438</v>
      </c>
      <c r="C28" s="135">
        <v>240000</v>
      </c>
      <c r="D28" s="135">
        <v>280000</v>
      </c>
      <c r="E28" s="135">
        <v>320000</v>
      </c>
      <c r="F28" s="135">
        <v>360000</v>
      </c>
    </row>
    <row r="29" spans="1:12" ht="16.5" customHeight="1">
      <c r="B29" s="134" t="s">
        <v>439</v>
      </c>
      <c r="C29" s="135">
        <v>270000</v>
      </c>
      <c r="D29" s="135">
        <v>315000</v>
      </c>
      <c r="E29" s="135">
        <v>360000</v>
      </c>
      <c r="F29" s="135">
        <v>405000</v>
      </c>
    </row>
    <row r="30" spans="1:12" ht="16.5" customHeight="1">
      <c r="B30" s="134" t="s">
        <v>440</v>
      </c>
      <c r="C30" s="135">
        <v>291000</v>
      </c>
      <c r="D30" s="135">
        <v>339500</v>
      </c>
      <c r="E30" s="135">
        <v>388000</v>
      </c>
      <c r="F30" s="135">
        <v>436500</v>
      </c>
    </row>
    <row r="31" spans="1:12" ht="16.5" customHeight="1">
      <c r="B31" s="134" t="s">
        <v>441</v>
      </c>
      <c r="C31" s="135">
        <v>312000</v>
      </c>
      <c r="D31" s="135">
        <v>364000</v>
      </c>
      <c r="E31" s="135">
        <v>416000</v>
      </c>
      <c r="F31" s="135">
        <v>468000</v>
      </c>
    </row>
    <row r="32" spans="1:12" ht="16.5" customHeight="1">
      <c r="B32" s="134" t="s">
        <v>442</v>
      </c>
      <c r="C32" s="135">
        <v>330000</v>
      </c>
      <c r="D32" s="135">
        <v>385000</v>
      </c>
      <c r="E32" s="135">
        <v>440000</v>
      </c>
      <c r="F32" s="135">
        <v>495000</v>
      </c>
    </row>
    <row r="33" spans="2:6" ht="16.5" customHeight="1">
      <c r="B33" s="134" t="s">
        <v>443</v>
      </c>
      <c r="C33" s="135">
        <v>360000</v>
      </c>
      <c r="D33" s="135">
        <v>420000</v>
      </c>
      <c r="E33" s="135">
        <v>480000</v>
      </c>
      <c r="F33" s="135">
        <v>540000</v>
      </c>
    </row>
  </sheetData>
  <mergeCells count="4">
    <mergeCell ref="A1:L1"/>
    <mergeCell ref="A3:L3"/>
    <mergeCell ref="A14:L14"/>
    <mergeCell ref="A25:L25"/>
  </mergeCells>
  <conditionalFormatting sqref="C27:F33">
    <cfRule type="colorScale" priority="4">
      <colorScale>
        <cfvo type="min"/>
        <cfvo type="percentile" val="50"/>
        <cfvo type="max"/>
        <color rgb="FFFCE4D6"/>
        <color rgb="FFFFFF00"/>
        <color rgb="FFE2EFDA"/>
      </colorScale>
    </cfRule>
  </conditionalFormatting>
  <conditionalFormatting sqref="C5:G11">
    <cfRule type="colorScale" priority="2">
      <colorScale>
        <cfvo type="min"/>
        <cfvo type="percentile" val="50"/>
        <cfvo type="max"/>
        <color rgb="FFFCE4D6"/>
        <color rgb="FFFFFF00"/>
        <color rgb="FFE2EFDA"/>
      </colorScale>
    </cfRule>
  </conditionalFormatting>
  <conditionalFormatting sqref="C16:H22">
    <cfRule type="colorScale" priority="3">
      <colorScale>
        <cfvo type="min"/>
        <cfvo type="percentile" val="50"/>
        <cfvo type="max"/>
        <color rgb="FFFCE4D6"/>
        <color rgb="FFFFFF00"/>
        <color rgb="FFE2EFDA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3C"/>
  </sheetPr>
  <dimension ref="A1:E3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E1"/>
    </sheetView>
  </sheetViews>
  <sheetFormatPr defaultColWidth="8.7109375" defaultRowHeight="15"/>
  <cols>
    <col min="1" max="1" width="3" customWidth="1"/>
    <col min="2" max="2" width="36" customWidth="1"/>
    <col min="3" max="5" width="18" customWidth="1"/>
  </cols>
  <sheetData>
    <row r="1" spans="1:5" ht="27.75" customHeight="1">
      <c r="A1" s="150" t="s">
        <v>444</v>
      </c>
      <c r="B1" s="150"/>
      <c r="C1" s="150"/>
      <c r="D1" s="150"/>
      <c r="E1" s="150"/>
    </row>
    <row r="3" spans="1:5" ht="21.75" customHeight="1">
      <c r="A3" s="159" t="s">
        <v>445</v>
      </c>
      <c r="B3" s="159"/>
      <c r="C3" s="159"/>
      <c r="D3" s="159"/>
      <c r="E3" s="159"/>
    </row>
    <row r="4" spans="1:5" ht="16.5" customHeight="1">
      <c r="B4" s="36" t="s">
        <v>446</v>
      </c>
      <c r="C4" s="137">
        <v>54286</v>
      </c>
    </row>
    <row r="5" spans="1:5" ht="16.5" customHeight="1">
      <c r="B5" s="36" t="s">
        <v>447</v>
      </c>
      <c r="C5" s="137">
        <v>25000</v>
      </c>
    </row>
    <row r="6" spans="1:5" ht="16.5" customHeight="1">
      <c r="B6" s="36" t="s">
        <v>448</v>
      </c>
      <c r="C6" s="137">
        <v>95000</v>
      </c>
    </row>
    <row r="7" spans="1:5" ht="16.5" customHeight="1">
      <c r="B7" s="36" t="s">
        <v>449</v>
      </c>
      <c r="C7" s="112">
        <f>C6*12</f>
        <v>1140000</v>
      </c>
    </row>
    <row r="9" spans="1:5" ht="21.75" customHeight="1">
      <c r="A9" s="152" t="s">
        <v>450</v>
      </c>
      <c r="B9" s="152"/>
      <c r="C9" s="152"/>
      <c r="D9" s="152"/>
      <c r="E9" s="152"/>
    </row>
    <row r="10" spans="1:5" ht="18" customHeight="1">
      <c r="B10" s="36" t="s">
        <v>451</v>
      </c>
      <c r="C10" s="163">
        <f>C4-C5</f>
        <v>29286</v>
      </c>
      <c r="D10" s="163"/>
      <c r="E10" s="163"/>
    </row>
    <row r="11" spans="1:5" ht="18" customHeight="1">
      <c r="B11" s="36" t="s">
        <v>452</v>
      </c>
      <c r="C11" s="171">
        <f>IFERROR((C4-C5)/C4,0)</f>
        <v>0.53947610802048407</v>
      </c>
      <c r="D11" s="171"/>
      <c r="E11" s="171"/>
    </row>
    <row r="12" spans="1:5" ht="18" customHeight="1">
      <c r="B12" s="36" t="s">
        <v>453</v>
      </c>
      <c r="C12" s="172">
        <f>IFERROR(C6/C10,0)</f>
        <v>3.2438707915044733</v>
      </c>
      <c r="D12" s="172"/>
      <c r="E12" s="172"/>
    </row>
    <row r="13" spans="1:5" ht="18" customHeight="1">
      <c r="B13" s="138" t="s">
        <v>454</v>
      </c>
      <c r="C13" s="173">
        <f>IFERROR(C6/C11,0)</f>
        <v>176096.76978761185</v>
      </c>
      <c r="D13" s="173"/>
      <c r="E13" s="173"/>
    </row>
    <row r="14" spans="1:5" ht="18" customHeight="1">
      <c r="B14" s="36" t="s">
        <v>455</v>
      </c>
      <c r="C14" s="163">
        <f>C12*12</f>
        <v>38.926449498053678</v>
      </c>
      <c r="D14" s="163"/>
      <c r="E14" s="163"/>
    </row>
    <row r="15" spans="1:5" ht="18" customHeight="1">
      <c r="B15" s="138" t="s">
        <v>456</v>
      </c>
      <c r="C15" s="173">
        <f>C13*12</f>
        <v>2113161.2374513419</v>
      </c>
      <c r="D15" s="173"/>
      <c r="E15" s="173"/>
    </row>
    <row r="16" spans="1:5" ht="18" customHeight="1">
      <c r="B16" s="36" t="s">
        <v>457</v>
      </c>
      <c r="C16" s="174">
        <v>7</v>
      </c>
      <c r="D16" s="174"/>
      <c r="E16" s="174"/>
    </row>
    <row r="17" spans="1:5" ht="18" customHeight="1">
      <c r="B17" s="36" t="s">
        <v>458</v>
      </c>
      <c r="C17" s="163">
        <f>C16-C12</f>
        <v>3.7561292084955267</v>
      </c>
      <c r="D17" s="163"/>
      <c r="E17" s="163"/>
    </row>
    <row r="18" spans="1:5" ht="18" customHeight="1">
      <c r="B18" s="36" t="s">
        <v>459</v>
      </c>
      <c r="C18" s="171">
        <f>IFERROR(C17/C16,0)</f>
        <v>0.53658988692793241</v>
      </c>
      <c r="D18" s="171"/>
      <c r="E18" s="171"/>
    </row>
    <row r="22" spans="1:5" ht="21.75" customHeight="1">
      <c r="A22" s="159" t="s">
        <v>460</v>
      </c>
      <c r="B22" s="159"/>
      <c r="C22" s="159"/>
      <c r="D22" s="159"/>
      <c r="E22" s="159"/>
    </row>
    <row r="23" spans="1:5" ht="18" customHeight="1">
      <c r="B23" s="95" t="s">
        <v>461</v>
      </c>
      <c r="C23" s="95" t="s">
        <v>462</v>
      </c>
      <c r="D23" s="95" t="s">
        <v>463</v>
      </c>
      <c r="E23" s="95" t="s">
        <v>464</v>
      </c>
    </row>
    <row r="24" spans="1:5" ht="15.75" customHeight="1">
      <c r="B24" s="139">
        <v>2</v>
      </c>
      <c r="C24" s="72">
        <v>108572</v>
      </c>
      <c r="D24" s="72">
        <v>50000</v>
      </c>
      <c r="E24" s="140">
        <v>-36428</v>
      </c>
    </row>
    <row r="25" spans="1:5" ht="15.75" customHeight="1">
      <c r="B25" s="139">
        <v>3</v>
      </c>
      <c r="C25" s="72">
        <v>162858</v>
      </c>
      <c r="D25" s="72">
        <v>75000</v>
      </c>
      <c r="E25" s="140">
        <v>-7142</v>
      </c>
    </row>
    <row r="26" spans="1:5" ht="15.75" customHeight="1">
      <c r="B26" s="139">
        <v>4</v>
      </c>
      <c r="C26" s="72">
        <v>217144</v>
      </c>
      <c r="D26" s="72">
        <v>100000</v>
      </c>
      <c r="E26" s="141">
        <v>22144</v>
      </c>
    </row>
    <row r="27" spans="1:5" ht="15.75" customHeight="1">
      <c r="B27" s="139">
        <v>5</v>
      </c>
      <c r="C27" s="72">
        <v>271430</v>
      </c>
      <c r="D27" s="72">
        <v>125000</v>
      </c>
      <c r="E27" s="141">
        <v>51430</v>
      </c>
    </row>
    <row r="28" spans="1:5" ht="15.75" customHeight="1">
      <c r="B28" s="139">
        <v>6</v>
      </c>
      <c r="C28" s="72">
        <v>325716</v>
      </c>
      <c r="D28" s="72">
        <v>150000</v>
      </c>
      <c r="E28" s="141">
        <v>80716</v>
      </c>
    </row>
    <row r="29" spans="1:5" ht="15.75" customHeight="1">
      <c r="B29" s="139">
        <v>7</v>
      </c>
      <c r="C29" s="72">
        <v>380002</v>
      </c>
      <c r="D29" s="72">
        <v>175000</v>
      </c>
      <c r="E29" s="141">
        <v>110002</v>
      </c>
    </row>
    <row r="30" spans="1:5" ht="15.75" customHeight="1">
      <c r="B30" s="139">
        <v>8</v>
      </c>
      <c r="C30" s="72">
        <v>434288</v>
      </c>
      <c r="D30" s="72">
        <v>200000</v>
      </c>
      <c r="E30" s="141">
        <v>139288</v>
      </c>
    </row>
    <row r="31" spans="1:5" ht="15.75" customHeight="1">
      <c r="B31" s="139">
        <v>9</v>
      </c>
      <c r="C31" s="72">
        <v>488574</v>
      </c>
      <c r="D31" s="72">
        <v>225000</v>
      </c>
      <c r="E31" s="141">
        <v>168574</v>
      </c>
    </row>
    <row r="32" spans="1:5" ht="15.75" customHeight="1">
      <c r="B32" s="139">
        <v>10</v>
      </c>
      <c r="C32" s="72">
        <v>542860</v>
      </c>
      <c r="D32" s="72">
        <v>250000</v>
      </c>
      <c r="E32" s="141">
        <v>197860</v>
      </c>
    </row>
    <row r="33" spans="2:5" ht="15.75" customHeight="1">
      <c r="B33" s="139">
        <v>11</v>
      </c>
      <c r="C33" s="72">
        <v>597146</v>
      </c>
      <c r="D33" s="72">
        <v>275000</v>
      </c>
      <c r="E33" s="141">
        <v>227146</v>
      </c>
    </row>
    <row r="34" spans="2:5" ht="15.75" customHeight="1">
      <c r="B34" s="139">
        <v>12</v>
      </c>
      <c r="C34" s="72">
        <v>651432</v>
      </c>
      <c r="D34" s="72">
        <v>300000</v>
      </c>
      <c r="E34" s="141">
        <v>256432</v>
      </c>
    </row>
    <row r="35" spans="2:5" ht="15.75" customHeight="1">
      <c r="B35" s="139">
        <v>13</v>
      </c>
      <c r="C35" s="72">
        <v>705718</v>
      </c>
      <c r="D35" s="72">
        <v>325000</v>
      </c>
      <c r="E35" s="141">
        <v>285718</v>
      </c>
    </row>
    <row r="36" spans="2:5" ht="15.75" customHeight="1">
      <c r="B36" s="139">
        <v>14</v>
      </c>
      <c r="C36" s="72">
        <v>760004</v>
      </c>
      <c r="D36" s="72">
        <v>350000</v>
      </c>
      <c r="E36" s="141">
        <v>315004</v>
      </c>
    </row>
    <row r="37" spans="2:5" ht="15.75" customHeight="1">
      <c r="B37" s="139">
        <v>15</v>
      </c>
      <c r="C37" s="72">
        <v>814290</v>
      </c>
      <c r="D37" s="72">
        <v>375000</v>
      </c>
      <c r="E37" s="141">
        <v>344290</v>
      </c>
    </row>
  </sheetData>
  <mergeCells count="13">
    <mergeCell ref="C17:E17"/>
    <mergeCell ref="C18:E18"/>
    <mergeCell ref="A22:E22"/>
    <mergeCell ref="C12:E12"/>
    <mergeCell ref="C13:E13"/>
    <mergeCell ref="C14:E14"/>
    <mergeCell ref="C15:E15"/>
    <mergeCell ref="C16:E16"/>
    <mergeCell ref="A1:E1"/>
    <mergeCell ref="A3:E3"/>
    <mergeCell ref="A9:E9"/>
    <mergeCell ref="C10:E10"/>
    <mergeCell ref="C11:E11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9A84C"/>
  </sheetPr>
  <dimension ref="A1:AC66"/>
  <sheetViews>
    <sheetView showGridLines="0" zoomScaleNormal="100" workbookViewId="0">
      <pane ySplit="9" topLeftCell="A10" activePane="bottomLeft" state="frozen"/>
      <selection pane="bottomLeft" activeCell="A44" sqref="A44"/>
    </sheetView>
  </sheetViews>
  <sheetFormatPr defaultColWidth="0" defaultRowHeight="15" zeroHeight="1"/>
  <cols>
    <col min="1" max="28" width="9" customWidth="1"/>
    <col min="29" max="29" width="9" hidden="1"/>
    <col min="30" max="16384" width="8.7109375" hidden="1"/>
  </cols>
  <sheetData>
    <row r="1" spans="1:29" ht="31.5" customHeight="1">
      <c r="A1" s="175" t="s">
        <v>465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5"/>
    </row>
    <row r="2" spans="1:29" ht="31.5" customHeigh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5"/>
    </row>
    <row r="3" spans="1:29" ht="7.5" customHeight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5"/>
    </row>
    <row r="4" spans="1:29" ht="3.7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5"/>
      <c r="AC4" s="15"/>
    </row>
    <row r="5" spans="1:29" ht="19.5" customHeight="1">
      <c r="A5" s="176" t="s">
        <v>466</v>
      </c>
      <c r="B5" s="176"/>
      <c r="C5" s="176"/>
      <c r="D5" s="176"/>
      <c r="E5" s="176" t="s">
        <v>467</v>
      </c>
      <c r="F5" s="176"/>
      <c r="G5" s="176"/>
      <c r="H5" s="176"/>
      <c r="I5" s="176" t="s">
        <v>468</v>
      </c>
      <c r="J5" s="176"/>
      <c r="K5" s="176"/>
      <c r="L5" s="176"/>
      <c r="M5" s="176" t="s">
        <v>469</v>
      </c>
      <c r="N5" s="176"/>
      <c r="O5" s="176"/>
      <c r="P5" s="176"/>
      <c r="Q5" s="176" t="s">
        <v>470</v>
      </c>
      <c r="R5" s="176"/>
      <c r="S5" s="176"/>
      <c r="T5" s="176"/>
      <c r="U5" s="176" t="s">
        <v>471</v>
      </c>
      <c r="V5" s="176"/>
      <c r="W5" s="176"/>
      <c r="X5" s="176"/>
      <c r="Y5" s="176" t="s">
        <v>472</v>
      </c>
      <c r="Z5" s="176"/>
      <c r="AA5" s="176"/>
      <c r="AB5" s="176"/>
      <c r="AC5" s="15"/>
    </row>
    <row r="6" spans="1:29" ht="24" customHeight="1">
      <c r="A6" s="177" t="s">
        <v>473</v>
      </c>
      <c r="B6" s="177"/>
      <c r="C6" s="177"/>
      <c r="D6" s="177"/>
      <c r="E6" s="177" t="s">
        <v>474</v>
      </c>
      <c r="F6" s="177"/>
      <c r="G6" s="177"/>
      <c r="H6" s="177"/>
      <c r="I6" s="177" t="s">
        <v>475</v>
      </c>
      <c r="J6" s="177"/>
      <c r="K6" s="177"/>
      <c r="L6" s="177"/>
      <c r="M6" s="178" t="s">
        <v>476</v>
      </c>
      <c r="N6" s="178"/>
      <c r="O6" s="178"/>
      <c r="P6" s="178"/>
      <c r="Q6" s="179" t="s">
        <v>23</v>
      </c>
      <c r="R6" s="179"/>
      <c r="S6" s="179"/>
      <c r="T6" s="179"/>
      <c r="U6" s="179" t="s">
        <v>21</v>
      </c>
      <c r="V6" s="179"/>
      <c r="W6" s="179"/>
      <c r="X6" s="179"/>
      <c r="Y6" s="177" t="s">
        <v>477</v>
      </c>
      <c r="Z6" s="177"/>
      <c r="AA6" s="177"/>
      <c r="AB6" s="177"/>
      <c r="AC6" s="15"/>
    </row>
    <row r="7" spans="1:29" ht="18" customHeight="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8"/>
      <c r="N7" s="178"/>
      <c r="O7" s="178"/>
      <c r="P7" s="178"/>
      <c r="Q7" s="179"/>
      <c r="R7" s="179"/>
      <c r="S7" s="179"/>
      <c r="T7" s="179"/>
      <c r="U7" s="179"/>
      <c r="V7" s="179"/>
      <c r="W7" s="179"/>
      <c r="X7" s="179"/>
      <c r="Y7" s="177"/>
      <c r="Z7" s="177"/>
      <c r="AA7" s="177"/>
      <c r="AB7" s="177"/>
      <c r="AC7" s="15"/>
    </row>
    <row r="8" spans="1:29" ht="15.75" customHeight="1">
      <c r="A8" s="180" t="s">
        <v>478</v>
      </c>
      <c r="B8" s="180"/>
      <c r="C8" s="180"/>
      <c r="D8" s="180"/>
      <c r="E8" s="180" t="s">
        <v>479</v>
      </c>
      <c r="F8" s="180"/>
      <c r="G8" s="180"/>
      <c r="H8" s="180"/>
      <c r="I8" s="180" t="s">
        <v>480</v>
      </c>
      <c r="J8" s="180"/>
      <c r="K8" s="180"/>
      <c r="L8" s="180"/>
      <c r="M8" s="180" t="s">
        <v>481</v>
      </c>
      <c r="N8" s="180"/>
      <c r="O8" s="180"/>
      <c r="P8" s="180"/>
      <c r="Q8" s="180" t="s">
        <v>482</v>
      </c>
      <c r="R8" s="180"/>
      <c r="S8" s="180"/>
      <c r="T8" s="180"/>
      <c r="U8" s="180" t="s">
        <v>93</v>
      </c>
      <c r="V8" s="180"/>
      <c r="W8" s="180"/>
      <c r="X8" s="180"/>
      <c r="Y8" s="180" t="s">
        <v>483</v>
      </c>
      <c r="Z8" s="180"/>
      <c r="AA8" s="180"/>
      <c r="AB8" s="180"/>
      <c r="AC8" s="15"/>
    </row>
    <row r="9" spans="1:29" ht="3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5"/>
    </row>
    <row r="10" spans="1:29" ht="15.7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19.5" customHeight="1">
      <c r="A11" s="181" t="s">
        <v>484</v>
      </c>
      <c r="B11" s="181"/>
      <c r="C11" s="181"/>
      <c r="D11" s="181"/>
      <c r="E11" s="181"/>
      <c r="F11" s="181"/>
      <c r="G11" s="181"/>
      <c r="H11" s="15"/>
      <c r="I11" s="181" t="s">
        <v>485</v>
      </c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5"/>
    </row>
    <row r="12" spans="1:29" ht="16.5" customHeight="1">
      <c r="A12" s="142" t="s">
        <v>486</v>
      </c>
      <c r="B12" s="142" t="s">
        <v>344</v>
      </c>
      <c r="C12" s="142" t="s">
        <v>345</v>
      </c>
      <c r="D12" s="142" t="s">
        <v>346</v>
      </c>
      <c r="E12" s="142" t="s">
        <v>347</v>
      </c>
      <c r="F12" s="142" t="s">
        <v>348</v>
      </c>
      <c r="G12" s="15"/>
      <c r="H12" s="15"/>
      <c r="I12" s="143" t="s">
        <v>487</v>
      </c>
      <c r="J12" s="182" t="s">
        <v>488</v>
      </c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5"/>
      <c r="AC12" s="15"/>
    </row>
    <row r="13" spans="1:29" ht="16.5" customHeight="1">
      <c r="A13" s="144" t="s">
        <v>489</v>
      </c>
      <c r="B13" s="145">
        <v>4.5599999999999996</v>
      </c>
      <c r="C13" s="146">
        <v>5.47</v>
      </c>
      <c r="D13" s="146">
        <v>6.56</v>
      </c>
      <c r="E13" s="146">
        <v>7.87</v>
      </c>
      <c r="F13" s="147">
        <v>9.4499999999999993</v>
      </c>
      <c r="G13" s="15"/>
      <c r="H13" s="15"/>
      <c r="I13" s="143" t="s">
        <v>487</v>
      </c>
      <c r="J13" s="182" t="s">
        <v>490</v>
      </c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5"/>
      <c r="AC13" s="15"/>
    </row>
    <row r="14" spans="1:29" ht="16.5" customHeight="1">
      <c r="A14" s="144" t="s">
        <v>491</v>
      </c>
      <c r="B14" s="145">
        <v>2.74</v>
      </c>
      <c r="C14" s="146">
        <v>3.36</v>
      </c>
      <c r="D14" s="146">
        <v>4.08</v>
      </c>
      <c r="E14" s="146">
        <v>5.04</v>
      </c>
      <c r="F14" s="147">
        <v>6.12</v>
      </c>
      <c r="G14" s="15"/>
      <c r="H14" s="15"/>
      <c r="I14" s="143" t="s">
        <v>487</v>
      </c>
      <c r="J14" s="182" t="s">
        <v>492</v>
      </c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5"/>
      <c r="AC14" s="15"/>
    </row>
    <row r="15" spans="1:29" ht="16.5" customHeight="1">
      <c r="A15" s="144" t="s">
        <v>493</v>
      </c>
      <c r="B15" s="148">
        <v>0.6</v>
      </c>
      <c r="C15" s="148">
        <v>0.61</v>
      </c>
      <c r="D15" s="148">
        <v>0.62</v>
      </c>
      <c r="E15" s="148">
        <v>0.64</v>
      </c>
      <c r="F15" s="149">
        <v>0.65</v>
      </c>
      <c r="G15" s="15"/>
      <c r="H15" s="15"/>
      <c r="I15" s="143" t="s">
        <v>487</v>
      </c>
      <c r="J15" s="182" t="s">
        <v>494</v>
      </c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5"/>
      <c r="AC15" s="15"/>
    </row>
    <row r="16" spans="1:29" ht="16.5" customHeight="1">
      <c r="A16" s="144" t="s">
        <v>495</v>
      </c>
      <c r="B16" s="145">
        <v>1.82</v>
      </c>
      <c r="C16" s="146">
        <v>2.2799999999999998</v>
      </c>
      <c r="D16" s="146">
        <v>2.82</v>
      </c>
      <c r="E16" s="146">
        <v>3.54</v>
      </c>
      <c r="F16" s="147">
        <v>4.32</v>
      </c>
      <c r="G16" s="15"/>
      <c r="H16" s="15"/>
      <c r="I16" s="143" t="s">
        <v>487</v>
      </c>
      <c r="J16" s="182" t="s">
        <v>496</v>
      </c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5"/>
      <c r="AC16" s="15"/>
    </row>
    <row r="17" spans="1:29" ht="16.5" customHeight="1">
      <c r="A17" s="144" t="s">
        <v>497</v>
      </c>
      <c r="B17" s="148">
        <v>0.4</v>
      </c>
      <c r="C17" s="148">
        <v>0.42</v>
      </c>
      <c r="D17" s="148">
        <v>0.43</v>
      </c>
      <c r="E17" s="148">
        <v>0.45</v>
      </c>
      <c r="F17" s="149">
        <v>0.46</v>
      </c>
      <c r="G17" s="15"/>
      <c r="H17" s="15"/>
      <c r="I17" s="143" t="s">
        <v>487</v>
      </c>
      <c r="J17" s="182" t="s">
        <v>498</v>
      </c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5"/>
      <c r="AC17" s="15"/>
    </row>
    <row r="18" spans="1:29" ht="16.5" customHeight="1">
      <c r="A18" s="144" t="s">
        <v>499</v>
      </c>
      <c r="B18" s="145">
        <v>0.24</v>
      </c>
      <c r="C18" s="146">
        <v>1.46</v>
      </c>
      <c r="D18" s="146">
        <v>1.78</v>
      </c>
      <c r="E18" s="146">
        <v>2.16</v>
      </c>
      <c r="F18" s="147">
        <v>2.62</v>
      </c>
      <c r="G18" s="15"/>
      <c r="H18" s="15"/>
      <c r="I18" s="143" t="s">
        <v>487</v>
      </c>
      <c r="J18" s="182" t="s">
        <v>500</v>
      </c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5"/>
      <c r="AC18" s="15"/>
    </row>
    <row r="19" spans="1:29" ht="16.5" customHeight="1">
      <c r="A19" s="144" t="s">
        <v>501</v>
      </c>
      <c r="B19" s="145">
        <v>84</v>
      </c>
      <c r="C19" s="146">
        <v>108</v>
      </c>
      <c r="D19" s="146">
        <v>132</v>
      </c>
      <c r="E19" s="146">
        <v>168</v>
      </c>
      <c r="F19" s="147">
        <v>216</v>
      </c>
      <c r="G19" s="15"/>
      <c r="H19" s="15"/>
      <c r="I19" s="143" t="s">
        <v>487</v>
      </c>
      <c r="J19" s="182" t="s">
        <v>502</v>
      </c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5"/>
      <c r="AC19" s="15"/>
    </row>
    <row r="20" spans="1:29" ht="16.5" customHeight="1">
      <c r="A20" s="15"/>
      <c r="B20" s="15"/>
      <c r="C20" s="15"/>
      <c r="D20" s="15"/>
      <c r="E20" s="15"/>
      <c r="F20" s="15"/>
      <c r="G20" s="15"/>
      <c r="H20" s="15"/>
      <c r="I20" s="143" t="s">
        <v>487</v>
      </c>
      <c r="J20" s="182" t="s">
        <v>503</v>
      </c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5"/>
      <c r="AC20" s="15"/>
    </row>
    <row r="21" spans="1:29" ht="16.5" customHeight="1">
      <c r="A21" s="15"/>
      <c r="B21" s="15"/>
      <c r="C21" s="15"/>
      <c r="D21" s="15"/>
      <c r="E21" s="15"/>
      <c r="F21" s="15"/>
      <c r="G21" s="15"/>
      <c r="H21" s="15"/>
      <c r="I21" s="143" t="s">
        <v>487</v>
      </c>
      <c r="J21" s="182" t="s">
        <v>504</v>
      </c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5"/>
      <c r="AC21" s="15"/>
    </row>
    <row r="22" spans="1:29" ht="16.5" customHeight="1">
      <c r="A22" s="15"/>
      <c r="B22" s="15"/>
      <c r="C22" s="15"/>
      <c r="D22" s="15"/>
      <c r="E22" s="15"/>
      <c r="F22" s="15"/>
      <c r="G22" s="15"/>
      <c r="H22" s="15"/>
      <c r="I22" s="143" t="s">
        <v>487</v>
      </c>
      <c r="J22" s="182" t="s">
        <v>505</v>
      </c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5"/>
      <c r="AC22" s="15"/>
    </row>
    <row r="23" spans="1:29" ht="16.5" customHeight="1">
      <c r="A23" s="15"/>
      <c r="B23" s="15"/>
      <c r="C23" s="15"/>
      <c r="D23" s="15"/>
      <c r="E23" s="15"/>
      <c r="F23" s="15"/>
      <c r="G23" s="15"/>
      <c r="H23" s="15"/>
      <c r="I23" s="143" t="s">
        <v>487</v>
      </c>
      <c r="J23" s="182" t="s">
        <v>506</v>
      </c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5"/>
      <c r="AC23" s="15"/>
    </row>
    <row r="24" spans="1:29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</row>
    <row r="25" spans="1:29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</row>
    <row r="26" spans="1:29" ht="15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spans="1:29" ht="15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spans="1:29" ht="19.5" customHeight="1">
      <c r="A28" s="181" t="s">
        <v>507</v>
      </c>
      <c r="B28" s="181"/>
      <c r="C28" s="181"/>
      <c r="D28" s="181"/>
      <c r="E28" s="181"/>
      <c r="F28" s="181"/>
      <c r="G28" s="181"/>
      <c r="H28" s="15"/>
      <c r="I28" s="181" t="s">
        <v>508</v>
      </c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5"/>
    </row>
    <row r="29" spans="1:29" ht="16.5" customHeight="1">
      <c r="A29" s="183" t="s">
        <v>509</v>
      </c>
      <c r="B29" s="183"/>
      <c r="C29" s="183"/>
      <c r="D29" s="183"/>
      <c r="E29" s="184" t="s">
        <v>510</v>
      </c>
      <c r="F29" s="184"/>
      <c r="G29" s="184"/>
      <c r="H29" s="15"/>
      <c r="I29" s="185" t="s">
        <v>511</v>
      </c>
      <c r="J29" s="185"/>
      <c r="K29" s="185"/>
      <c r="L29" s="185"/>
      <c r="M29" s="185"/>
      <c r="N29" s="185"/>
      <c r="O29" s="186" t="s">
        <v>512</v>
      </c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5"/>
      <c r="AC29" s="15"/>
    </row>
    <row r="30" spans="1:29" ht="16.5" customHeight="1">
      <c r="A30" s="183" t="s">
        <v>513</v>
      </c>
      <c r="B30" s="183"/>
      <c r="C30" s="183"/>
      <c r="D30" s="183"/>
      <c r="E30" s="187" t="s">
        <v>514</v>
      </c>
      <c r="F30" s="187"/>
      <c r="G30" s="187"/>
      <c r="H30" s="15"/>
      <c r="I30" s="185" t="s">
        <v>515</v>
      </c>
      <c r="J30" s="185"/>
      <c r="K30" s="185"/>
      <c r="L30" s="185"/>
      <c r="M30" s="185"/>
      <c r="N30" s="185"/>
      <c r="O30" s="186" t="s">
        <v>516</v>
      </c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5"/>
      <c r="AC30" s="15"/>
    </row>
    <row r="31" spans="1:29" ht="16.5" customHeight="1">
      <c r="A31" s="183" t="s">
        <v>517</v>
      </c>
      <c r="B31" s="183"/>
      <c r="C31" s="183"/>
      <c r="D31" s="183"/>
      <c r="E31" s="188" t="s">
        <v>518</v>
      </c>
      <c r="F31" s="188"/>
      <c r="G31" s="188"/>
      <c r="H31" s="15"/>
      <c r="I31" s="185" t="s">
        <v>519</v>
      </c>
      <c r="J31" s="185"/>
      <c r="K31" s="185"/>
      <c r="L31" s="185"/>
      <c r="M31" s="185"/>
      <c r="N31" s="185"/>
      <c r="O31" s="186" t="s">
        <v>520</v>
      </c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5"/>
      <c r="AC31" s="15"/>
    </row>
    <row r="32" spans="1:29" ht="16.5" customHeight="1">
      <c r="A32" s="183" t="s">
        <v>521</v>
      </c>
      <c r="B32" s="183"/>
      <c r="C32" s="183"/>
      <c r="D32" s="183"/>
      <c r="E32" s="187" t="s">
        <v>522</v>
      </c>
      <c r="F32" s="187"/>
      <c r="G32" s="187"/>
      <c r="H32" s="15"/>
      <c r="I32" s="185" t="s">
        <v>523</v>
      </c>
      <c r="J32" s="185"/>
      <c r="K32" s="185"/>
      <c r="L32" s="185"/>
      <c r="M32" s="185"/>
      <c r="N32" s="185"/>
      <c r="O32" s="186" t="s">
        <v>524</v>
      </c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5"/>
      <c r="AC32" s="15"/>
    </row>
    <row r="33" spans="1:29" ht="16.5" customHeight="1">
      <c r="A33" s="183" t="s">
        <v>525</v>
      </c>
      <c r="B33" s="183"/>
      <c r="C33" s="183"/>
      <c r="D33" s="183"/>
      <c r="E33" s="187" t="s">
        <v>526</v>
      </c>
      <c r="F33" s="187"/>
      <c r="G33" s="187"/>
      <c r="H33" s="15"/>
      <c r="I33" s="185" t="s">
        <v>527</v>
      </c>
      <c r="J33" s="185"/>
      <c r="K33" s="185"/>
      <c r="L33" s="185"/>
      <c r="M33" s="185"/>
      <c r="N33" s="185"/>
      <c r="O33" s="186" t="s">
        <v>528</v>
      </c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5"/>
      <c r="AC33" s="15"/>
    </row>
    <row r="34" spans="1:29" ht="16.5" customHeight="1">
      <c r="A34" s="183" t="s">
        <v>529</v>
      </c>
      <c r="B34" s="183"/>
      <c r="C34" s="183"/>
      <c r="D34" s="183"/>
      <c r="E34" s="184" t="s">
        <v>530</v>
      </c>
      <c r="F34" s="184"/>
      <c r="G34" s="184"/>
      <c r="H34" s="15"/>
      <c r="I34" s="185" t="s">
        <v>531</v>
      </c>
      <c r="J34" s="185"/>
      <c r="K34" s="185"/>
      <c r="L34" s="185"/>
      <c r="M34" s="185"/>
      <c r="N34" s="185"/>
      <c r="O34" s="186" t="s">
        <v>532</v>
      </c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5"/>
      <c r="AC34" s="15"/>
    </row>
    <row r="35" spans="1:29" ht="16.5" customHeight="1">
      <c r="A35" s="15"/>
      <c r="B35" s="15"/>
      <c r="C35" s="15"/>
      <c r="D35" s="15"/>
      <c r="E35" s="15"/>
      <c r="F35" s="15"/>
      <c r="G35" s="15"/>
      <c r="H35" s="15"/>
      <c r="I35" s="185" t="s">
        <v>533</v>
      </c>
      <c r="J35" s="185"/>
      <c r="K35" s="185"/>
      <c r="L35" s="185"/>
      <c r="M35" s="185"/>
      <c r="N35" s="185"/>
      <c r="O35" s="186" t="s">
        <v>534</v>
      </c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5"/>
      <c r="AC35" s="15"/>
    </row>
    <row r="36" spans="1:29" ht="16.5" customHeight="1">
      <c r="A36" s="15"/>
      <c r="B36" s="15"/>
      <c r="C36" s="15"/>
      <c r="D36" s="15"/>
      <c r="E36" s="15"/>
      <c r="F36" s="15"/>
      <c r="G36" s="15"/>
      <c r="H36" s="15"/>
      <c r="I36" s="185" t="s">
        <v>535</v>
      </c>
      <c r="J36" s="185"/>
      <c r="K36" s="185"/>
      <c r="L36" s="185"/>
      <c r="M36" s="185"/>
      <c r="N36" s="185"/>
      <c r="O36" s="186" t="s">
        <v>536</v>
      </c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5"/>
      <c r="AC36" s="15"/>
    </row>
    <row r="37" spans="1:29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spans="1:29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</row>
    <row r="39" spans="1:2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</row>
    <row r="40" spans="1:29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1:29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spans="1:29" ht="15.75" customHeight="1">
      <c r="A42" s="189" t="s">
        <v>611</v>
      </c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5"/>
    </row>
    <row r="43" spans="1:29" ht="15.75" customHeight="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5"/>
    </row>
    <row r="44" spans="1:29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spans="1:29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</row>
    <row r="46" spans="1:29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</row>
    <row r="47" spans="1:29" ht="15.75" hidden="1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</row>
    <row r="48" spans="1:29" ht="15.75" hidden="1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</row>
    <row r="49" spans="1:29" ht="15.75" hidden="1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29" ht="15.75" hidden="1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29" ht="15.75" hidden="1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</row>
    <row r="52" spans="1:29" ht="15.75" hidden="1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29" ht="15.75" hidden="1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</row>
    <row r="54" spans="1:29" ht="15.75" hidden="1" customHeight="1"/>
    <row r="55" spans="1:29" ht="15.75" hidden="1" customHeight="1"/>
    <row r="56" spans="1:29" ht="15.75" hidden="1" customHeight="1"/>
    <row r="57" spans="1:29" ht="15.75" hidden="1" customHeight="1"/>
    <row r="58" spans="1:29" ht="15.75" hidden="1" customHeight="1"/>
    <row r="59" spans="1:29" ht="15.75" hidden="1" customHeight="1"/>
    <row r="60" spans="1:29" ht="15.75" hidden="1" customHeight="1"/>
    <row r="61" spans="1:29" ht="15.75" hidden="1" customHeight="1"/>
    <row r="62" spans="1:29" ht="15.75" hidden="1" customHeight="1"/>
    <row r="63" spans="1:29" ht="15.75" hidden="1" customHeight="1"/>
    <row r="64" spans="1:29" ht="15.75" hidden="1" customHeight="1"/>
    <row r="65" ht="15.75" hidden="1" customHeight="1"/>
    <row r="66" ht="15.75" hidden="1" customHeight="1"/>
  </sheetData>
  <mergeCells count="74">
    <mergeCell ref="I36:N36"/>
    <mergeCell ref="O36:AA36"/>
    <mergeCell ref="A42:AB43"/>
    <mergeCell ref="A34:D34"/>
    <mergeCell ref="E34:G34"/>
    <mergeCell ref="I34:N34"/>
    <mergeCell ref="O34:AA34"/>
    <mergeCell ref="I35:N35"/>
    <mergeCell ref="O35:AA35"/>
    <mergeCell ref="A32:D32"/>
    <mergeCell ref="E32:G32"/>
    <mergeCell ref="I32:N32"/>
    <mergeCell ref="O32:AA32"/>
    <mergeCell ref="A33:D33"/>
    <mergeCell ref="E33:G33"/>
    <mergeCell ref="I33:N33"/>
    <mergeCell ref="O33:AA33"/>
    <mergeCell ref="A30:D30"/>
    <mergeCell ref="E30:G30"/>
    <mergeCell ref="I30:N30"/>
    <mergeCell ref="O30:AA30"/>
    <mergeCell ref="A31:D31"/>
    <mergeCell ref="E31:G31"/>
    <mergeCell ref="I31:N31"/>
    <mergeCell ref="O31:AA31"/>
    <mergeCell ref="J23:AA23"/>
    <mergeCell ref="A28:G28"/>
    <mergeCell ref="I28:AB28"/>
    <mergeCell ref="A29:D29"/>
    <mergeCell ref="E29:G29"/>
    <mergeCell ref="I29:N29"/>
    <mergeCell ref="O29:AA29"/>
    <mergeCell ref="J18:AA18"/>
    <mergeCell ref="J19:AA19"/>
    <mergeCell ref="J20:AA20"/>
    <mergeCell ref="J21:AA21"/>
    <mergeCell ref="J22:AA22"/>
    <mergeCell ref="J13:AA13"/>
    <mergeCell ref="J14:AA14"/>
    <mergeCell ref="J15:AA15"/>
    <mergeCell ref="J16:AA16"/>
    <mergeCell ref="J17:AA17"/>
    <mergeCell ref="U9:X9"/>
    <mergeCell ref="Y9:AB9"/>
    <mergeCell ref="A11:G11"/>
    <mergeCell ref="I11:AB11"/>
    <mergeCell ref="J12:AA12"/>
    <mergeCell ref="A9:D9"/>
    <mergeCell ref="E9:H9"/>
    <mergeCell ref="I9:L9"/>
    <mergeCell ref="M9:P9"/>
    <mergeCell ref="Q9:T9"/>
    <mergeCell ref="U6:X7"/>
    <mergeCell ref="Y6:AB7"/>
    <mergeCell ref="A8:D8"/>
    <mergeCell ref="E8:H8"/>
    <mergeCell ref="I8:L8"/>
    <mergeCell ref="M8:P8"/>
    <mergeCell ref="Q8:T8"/>
    <mergeCell ref="U8:X8"/>
    <mergeCell ref="Y8:AB8"/>
    <mergeCell ref="A6:D7"/>
    <mergeCell ref="E6:H7"/>
    <mergeCell ref="I6:L7"/>
    <mergeCell ref="M6:P7"/>
    <mergeCell ref="Q6:T7"/>
    <mergeCell ref="A1:AB3"/>
    <mergeCell ref="A5:D5"/>
    <mergeCell ref="E5:H5"/>
    <mergeCell ref="I5:L5"/>
    <mergeCell ref="M5:P5"/>
    <mergeCell ref="Q5:T5"/>
    <mergeCell ref="U5:X5"/>
    <mergeCell ref="Y5:AB5"/>
  </mergeCells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9A84C"/>
    <pageSetUpPr fitToPage="1"/>
  </sheetPr>
  <dimension ref="A1:AC53"/>
  <sheetViews>
    <sheetView showGridLines="0" zoomScaleNormal="100" workbookViewId="0">
      <selection activeCell="A11" sqref="A11"/>
    </sheetView>
  </sheetViews>
  <sheetFormatPr defaultColWidth="0" defaultRowHeight="15" zeroHeight="1"/>
  <cols>
    <col min="1" max="1" width="4" customWidth="1"/>
    <col min="2" max="13" width="14" customWidth="1"/>
  </cols>
  <sheetData>
    <row r="1" spans="1:29" ht="4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5"/>
      <c r="O1" s="15"/>
    </row>
    <row r="2" spans="1:29" ht="24" customHeight="1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5"/>
      <c r="O2" s="15"/>
      <c r="P2" s="15"/>
      <c r="Q2" s="15"/>
    </row>
    <row r="3" spans="1:29" ht="24" customHeight="1">
      <c r="A3" s="191" t="s">
        <v>607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5"/>
      <c r="O3" s="15"/>
      <c r="P3" s="15"/>
      <c r="Q3" s="15"/>
      <c r="R3" s="15"/>
      <c r="S3" s="15"/>
    </row>
    <row r="4" spans="1:29" ht="18" customHeight="1">
      <c r="A4" s="192" t="s">
        <v>537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5"/>
      <c r="O4" s="15"/>
      <c r="P4" s="15"/>
      <c r="Q4" s="15"/>
      <c r="R4" s="15"/>
      <c r="S4" s="15"/>
      <c r="T4" s="15"/>
      <c r="U4" s="15"/>
    </row>
    <row r="5" spans="1:29" ht="3.7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9" ht="1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9" ht="24" customHeight="1">
      <c r="A7" s="193" t="s">
        <v>538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9" ht="45" customHeight="1">
      <c r="A8" s="194" t="s">
        <v>539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29" ht="1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39.75" customHeight="1">
      <c r="A10" s="195" t="s">
        <v>610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1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ht="1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24" customHeight="1">
      <c r="A13" s="196" t="s">
        <v>540</v>
      </c>
      <c r="B13" s="196"/>
      <c r="C13" s="196"/>
      <c r="D13" s="196"/>
      <c r="E13" s="196"/>
      <c r="F13" s="196"/>
      <c r="G13" s="196" t="s">
        <v>541</v>
      </c>
      <c r="H13" s="196"/>
      <c r="I13" s="196"/>
      <c r="J13" s="196"/>
      <c r="K13" s="196"/>
      <c r="L13" s="196"/>
      <c r="M13" s="196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29" ht="18" customHeight="1">
      <c r="A14" s="183" t="s">
        <v>542</v>
      </c>
      <c r="B14" s="183"/>
      <c r="C14" s="183"/>
      <c r="D14" s="197" t="s">
        <v>473</v>
      </c>
      <c r="E14" s="197"/>
      <c r="F14" s="197"/>
      <c r="G14" s="183" t="s">
        <v>543</v>
      </c>
      <c r="H14" s="183"/>
      <c r="I14" s="183"/>
      <c r="J14" s="197" t="s">
        <v>544</v>
      </c>
      <c r="K14" s="197"/>
      <c r="L14" s="197"/>
      <c r="M14" s="197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ht="18" customHeight="1">
      <c r="A15" s="183" t="s">
        <v>545</v>
      </c>
      <c r="B15" s="183"/>
      <c r="C15" s="183"/>
      <c r="D15" s="197" t="s">
        <v>546</v>
      </c>
      <c r="E15" s="197"/>
      <c r="F15" s="197"/>
      <c r="G15" s="183" t="s">
        <v>547</v>
      </c>
      <c r="H15" s="183"/>
      <c r="I15" s="183"/>
      <c r="J15" s="197" t="s">
        <v>548</v>
      </c>
      <c r="K15" s="197"/>
      <c r="L15" s="197"/>
      <c r="M15" s="197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ht="18" customHeight="1">
      <c r="A16" s="183" t="s">
        <v>549</v>
      </c>
      <c r="B16" s="183"/>
      <c r="C16" s="183"/>
      <c r="D16" s="197" t="s">
        <v>550</v>
      </c>
      <c r="E16" s="197"/>
      <c r="F16" s="197"/>
      <c r="G16" s="183" t="s">
        <v>551</v>
      </c>
      <c r="H16" s="183"/>
      <c r="I16" s="183"/>
      <c r="J16" s="197" t="s">
        <v>23</v>
      </c>
      <c r="K16" s="197"/>
      <c r="L16" s="197"/>
      <c r="M16" s="197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spans="1:29" ht="18" customHeight="1">
      <c r="A17" s="183" t="s">
        <v>552</v>
      </c>
      <c r="B17" s="183"/>
      <c r="C17" s="183"/>
      <c r="D17" s="197" t="s">
        <v>553</v>
      </c>
      <c r="E17" s="197"/>
      <c r="F17" s="197"/>
      <c r="G17" s="183" t="s">
        <v>554</v>
      </c>
      <c r="H17" s="183"/>
      <c r="I17" s="183"/>
      <c r="J17" s="197" t="s">
        <v>555</v>
      </c>
      <c r="K17" s="197"/>
      <c r="L17" s="197"/>
      <c r="M17" s="197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spans="1:29" ht="18" customHeight="1">
      <c r="A18" s="183" t="s">
        <v>556</v>
      </c>
      <c r="B18" s="183"/>
      <c r="C18" s="183"/>
      <c r="D18" s="197" t="s">
        <v>557</v>
      </c>
      <c r="E18" s="197"/>
      <c r="F18" s="197"/>
      <c r="G18" s="183" t="s">
        <v>558</v>
      </c>
      <c r="H18" s="183"/>
      <c r="I18" s="183"/>
      <c r="J18" s="197" t="s">
        <v>559</v>
      </c>
      <c r="K18" s="197"/>
      <c r="L18" s="197"/>
      <c r="M18" s="197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spans="1:29" ht="18" customHeight="1">
      <c r="A19" s="183" t="s">
        <v>560</v>
      </c>
      <c r="B19" s="183"/>
      <c r="C19" s="183"/>
      <c r="D19" s="197" t="s">
        <v>561</v>
      </c>
      <c r="E19" s="197"/>
      <c r="F19" s="197"/>
      <c r="G19" s="183" t="s">
        <v>562</v>
      </c>
      <c r="H19" s="183"/>
      <c r="I19" s="183"/>
      <c r="J19" s="197" t="s">
        <v>563</v>
      </c>
      <c r="K19" s="197"/>
      <c r="L19" s="197"/>
      <c r="M19" s="197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29" ht="18" customHeight="1">
      <c r="A20" s="183" t="s">
        <v>564</v>
      </c>
      <c r="B20" s="183"/>
      <c r="C20" s="183"/>
      <c r="D20" s="197" t="s">
        <v>565</v>
      </c>
      <c r="E20" s="197"/>
      <c r="F20" s="197"/>
      <c r="G20" s="183" t="s">
        <v>566</v>
      </c>
      <c r="H20" s="183"/>
      <c r="I20" s="183"/>
      <c r="J20" s="197" t="s">
        <v>567</v>
      </c>
      <c r="K20" s="197"/>
      <c r="L20" s="197"/>
      <c r="M20" s="197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ht="18" customHeight="1">
      <c r="A21" s="183" t="s">
        <v>568</v>
      </c>
      <c r="B21" s="183"/>
      <c r="C21" s="183"/>
      <c r="D21" s="197" t="s">
        <v>569</v>
      </c>
      <c r="E21" s="197"/>
      <c r="F21" s="197"/>
      <c r="G21" s="183" t="s">
        <v>570</v>
      </c>
      <c r="H21" s="183"/>
      <c r="I21" s="183"/>
      <c r="J21" s="197" t="s">
        <v>571</v>
      </c>
      <c r="K21" s="197"/>
      <c r="L21" s="197"/>
      <c r="M21" s="197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spans="1:29" ht="1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</row>
    <row r="23" spans="1:29" ht="1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spans="1:29" ht="24" customHeight="1">
      <c r="A24" s="196" t="s">
        <v>572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</row>
    <row r="25" spans="1:29" ht="18" customHeight="1">
      <c r="A25" s="198" t="s">
        <v>573</v>
      </c>
      <c r="B25" s="198"/>
      <c r="C25" s="198"/>
      <c r="D25" s="198"/>
      <c r="E25" s="198"/>
      <c r="F25" s="198"/>
      <c r="G25" s="199" t="s">
        <v>574</v>
      </c>
      <c r="H25" s="199"/>
      <c r="I25" s="199"/>
      <c r="J25" s="199"/>
      <c r="K25" s="199"/>
      <c r="L25" s="199"/>
      <c r="M25" s="199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</row>
    <row r="26" spans="1:29" ht="18" customHeight="1">
      <c r="A26" s="198" t="s">
        <v>575</v>
      </c>
      <c r="B26" s="198"/>
      <c r="C26" s="198"/>
      <c r="D26" s="198"/>
      <c r="E26" s="198"/>
      <c r="F26" s="198"/>
      <c r="G26" s="200" t="s">
        <v>576</v>
      </c>
      <c r="H26" s="200"/>
      <c r="I26" s="200"/>
      <c r="J26" s="200"/>
      <c r="K26" s="200"/>
      <c r="L26" s="200"/>
      <c r="M26" s="200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spans="1:29" ht="18" customHeight="1">
      <c r="A27" s="198" t="s">
        <v>577</v>
      </c>
      <c r="B27" s="198"/>
      <c r="C27" s="198"/>
      <c r="D27" s="198"/>
      <c r="E27" s="198"/>
      <c r="F27" s="198"/>
      <c r="G27" s="201" t="s">
        <v>578</v>
      </c>
      <c r="H27" s="201"/>
      <c r="I27" s="201"/>
      <c r="J27" s="201"/>
      <c r="K27" s="201"/>
      <c r="L27" s="201"/>
      <c r="M27" s="201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spans="1:29" ht="18" customHeight="1">
      <c r="A28" s="198" t="s">
        <v>579</v>
      </c>
      <c r="B28" s="198"/>
      <c r="C28" s="198"/>
      <c r="D28" s="198"/>
      <c r="E28" s="198"/>
      <c r="F28" s="198"/>
      <c r="G28" s="199" t="s">
        <v>580</v>
      </c>
      <c r="H28" s="199"/>
      <c r="I28" s="199"/>
      <c r="J28" s="199"/>
      <c r="K28" s="199"/>
      <c r="L28" s="199"/>
      <c r="M28" s="199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29" ht="18" customHeight="1">
      <c r="A29" s="198" t="s">
        <v>529</v>
      </c>
      <c r="B29" s="198"/>
      <c r="C29" s="198"/>
      <c r="D29" s="198"/>
      <c r="E29" s="198"/>
      <c r="F29" s="198"/>
      <c r="G29" s="202" t="s">
        <v>530</v>
      </c>
      <c r="H29" s="202"/>
      <c r="I29" s="202"/>
      <c r="J29" s="202"/>
      <c r="K29" s="202"/>
      <c r="L29" s="202"/>
      <c r="M29" s="20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29" ht="18" customHeight="1">
      <c r="A30" s="198" t="s">
        <v>581</v>
      </c>
      <c r="B30" s="198"/>
      <c r="C30" s="198"/>
      <c r="D30" s="198"/>
      <c r="E30" s="198"/>
      <c r="F30" s="198"/>
      <c r="G30" s="203" t="s">
        <v>582</v>
      </c>
      <c r="H30" s="203"/>
      <c r="I30" s="203"/>
      <c r="J30" s="203"/>
      <c r="K30" s="203"/>
      <c r="L30" s="203"/>
      <c r="M30" s="203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spans="1:29" ht="1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spans="1:29" ht="1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ht="24" customHeight="1">
      <c r="A33" s="196" t="s">
        <v>583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ht="15.75" customHeight="1">
      <c r="A34" s="204" t="s">
        <v>584</v>
      </c>
      <c r="B34" s="204"/>
      <c r="C34" s="204"/>
      <c r="D34" s="204"/>
      <c r="E34" s="204" t="s">
        <v>585</v>
      </c>
      <c r="F34" s="204"/>
      <c r="G34" s="204"/>
      <c r="H34" s="204"/>
      <c r="I34" s="204" t="s">
        <v>586</v>
      </c>
      <c r="J34" s="204"/>
      <c r="K34" s="204"/>
      <c r="L34" s="204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15.75" customHeight="1">
      <c r="A35" s="186" t="s">
        <v>587</v>
      </c>
      <c r="B35" s="186"/>
      <c r="C35" s="186"/>
      <c r="D35" s="186"/>
      <c r="E35" s="186" t="s">
        <v>588</v>
      </c>
      <c r="F35" s="186"/>
      <c r="G35" s="186"/>
      <c r="H35" s="186"/>
      <c r="I35" s="186" t="s">
        <v>589</v>
      </c>
      <c r="J35" s="186"/>
      <c r="K35" s="186"/>
      <c r="L35" s="186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</row>
    <row r="36" spans="1:29" ht="15.75" customHeight="1">
      <c r="A36" s="186" t="s">
        <v>590</v>
      </c>
      <c r="B36" s="186"/>
      <c r="C36" s="186"/>
      <c r="D36" s="186"/>
      <c r="E36" s="186" t="s">
        <v>591</v>
      </c>
      <c r="F36" s="186"/>
      <c r="G36" s="186"/>
      <c r="H36" s="186"/>
      <c r="I36" s="186" t="s">
        <v>592</v>
      </c>
      <c r="J36" s="186"/>
      <c r="K36" s="186"/>
      <c r="L36" s="186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1:29" ht="15.75" customHeight="1">
      <c r="A37" s="186" t="s">
        <v>593</v>
      </c>
      <c r="B37" s="186"/>
      <c r="C37" s="186"/>
      <c r="D37" s="186"/>
      <c r="E37" s="186" t="s">
        <v>594</v>
      </c>
      <c r="F37" s="186"/>
      <c r="G37" s="186"/>
      <c r="H37" s="186"/>
      <c r="I37" s="186" t="s">
        <v>595</v>
      </c>
      <c r="J37" s="186"/>
      <c r="K37" s="186"/>
      <c r="L37" s="186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spans="1:29" ht="15.75" customHeight="1">
      <c r="A38" s="186" t="s">
        <v>596</v>
      </c>
      <c r="B38" s="186"/>
      <c r="C38" s="186"/>
      <c r="D38" s="186"/>
      <c r="E38" s="186" t="s">
        <v>597</v>
      </c>
      <c r="F38" s="186"/>
      <c r="G38" s="186"/>
      <c r="H38" s="186"/>
      <c r="I38" s="186" t="s">
        <v>598</v>
      </c>
      <c r="J38" s="186"/>
      <c r="K38" s="186"/>
      <c r="L38" s="186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</row>
    <row r="39" spans="1:29" ht="15.75" customHeight="1">
      <c r="A39" s="186" t="s">
        <v>599</v>
      </c>
      <c r="B39" s="186"/>
      <c r="C39" s="186"/>
      <c r="D39" s="186"/>
      <c r="E39" s="186" t="s">
        <v>588</v>
      </c>
      <c r="F39" s="186"/>
      <c r="G39" s="186"/>
      <c r="H39" s="186"/>
      <c r="I39" s="186" t="s">
        <v>589</v>
      </c>
      <c r="J39" s="186"/>
      <c r="K39" s="186"/>
      <c r="L39" s="186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</row>
    <row r="40" spans="1:29" ht="15.75" customHeight="1">
      <c r="A40" s="186" t="s">
        <v>600</v>
      </c>
      <c r="B40" s="186"/>
      <c r="C40" s="186"/>
      <c r="D40" s="186"/>
      <c r="E40" s="186" t="s">
        <v>601</v>
      </c>
      <c r="F40" s="186"/>
      <c r="G40" s="186"/>
      <c r="H40" s="186"/>
      <c r="I40" s="186" t="s">
        <v>602</v>
      </c>
      <c r="J40" s="186"/>
      <c r="K40" s="186"/>
      <c r="L40" s="186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1:29" ht="15.75" customHeight="1">
      <c r="A41" s="186" t="s">
        <v>603</v>
      </c>
      <c r="B41" s="186"/>
      <c r="C41" s="186"/>
      <c r="D41" s="186"/>
      <c r="E41" s="186" t="s">
        <v>601</v>
      </c>
      <c r="F41" s="186"/>
      <c r="G41" s="186"/>
      <c r="H41" s="186"/>
      <c r="I41" s="186" t="s">
        <v>602</v>
      </c>
      <c r="J41" s="186"/>
      <c r="K41" s="186"/>
      <c r="L41" s="186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spans="1:29" ht="15.75" customHeight="1">
      <c r="A42" s="186" t="s">
        <v>604</v>
      </c>
      <c r="B42" s="186"/>
      <c r="C42" s="186"/>
      <c r="D42" s="186"/>
      <c r="E42" s="186" t="s">
        <v>605</v>
      </c>
      <c r="F42" s="186"/>
      <c r="G42" s="186"/>
      <c r="H42" s="186"/>
      <c r="I42" s="186" t="s">
        <v>606</v>
      </c>
      <c r="J42" s="186"/>
      <c r="K42" s="186"/>
      <c r="L42" s="186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</row>
    <row r="43" spans="1:29" ht="1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</row>
    <row r="44" spans="1:29" ht="1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spans="1:29" ht="1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</row>
    <row r="46" spans="1:29" ht="1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</row>
    <row r="47" spans="1:29" ht="1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</row>
    <row r="48" spans="1:29" ht="1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</row>
    <row r="49" spans="1:29" ht="3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29" ht="24" customHeight="1">
      <c r="A50" s="205" t="s">
        <v>609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29" ht="1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</row>
    <row r="52" spans="1:29" ht="1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29" ht="1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</row>
  </sheetData>
  <mergeCells count="82">
    <mergeCell ref="A42:D42"/>
    <mergeCell ref="E42:H42"/>
    <mergeCell ref="I42:L42"/>
    <mergeCell ref="A50:M50"/>
    <mergeCell ref="A40:D40"/>
    <mergeCell ref="E40:H40"/>
    <mergeCell ref="I40:L40"/>
    <mergeCell ref="A41:D41"/>
    <mergeCell ref="E41:H41"/>
    <mergeCell ref="I41:L41"/>
    <mergeCell ref="A38:D38"/>
    <mergeCell ref="E38:H38"/>
    <mergeCell ref="I38:L38"/>
    <mergeCell ref="A39:D39"/>
    <mergeCell ref="E39:H39"/>
    <mergeCell ref="I39:L39"/>
    <mergeCell ref="A36:D36"/>
    <mergeCell ref="E36:H36"/>
    <mergeCell ref="I36:L36"/>
    <mergeCell ref="A37:D37"/>
    <mergeCell ref="E37:H37"/>
    <mergeCell ref="I37:L37"/>
    <mergeCell ref="A33:M33"/>
    <mergeCell ref="A34:D34"/>
    <mergeCell ref="E34:H34"/>
    <mergeCell ref="I34:L34"/>
    <mergeCell ref="A35:D35"/>
    <mergeCell ref="E35:H35"/>
    <mergeCell ref="I35:L35"/>
    <mergeCell ref="A28:F28"/>
    <mergeCell ref="G28:M28"/>
    <mergeCell ref="A29:F29"/>
    <mergeCell ref="G29:M29"/>
    <mergeCell ref="A30:F30"/>
    <mergeCell ref="G30:M30"/>
    <mergeCell ref="A25:F25"/>
    <mergeCell ref="G25:M25"/>
    <mergeCell ref="A26:F26"/>
    <mergeCell ref="G26:M26"/>
    <mergeCell ref="A27:F27"/>
    <mergeCell ref="G27:M27"/>
    <mergeCell ref="A21:C21"/>
    <mergeCell ref="D21:F21"/>
    <mergeCell ref="G21:I21"/>
    <mergeCell ref="J21:M21"/>
    <mergeCell ref="A24:M24"/>
    <mergeCell ref="A19:C19"/>
    <mergeCell ref="D19:F19"/>
    <mergeCell ref="G19:I19"/>
    <mergeCell ref="J19:M19"/>
    <mergeCell ref="A20:C20"/>
    <mergeCell ref="D20:F20"/>
    <mergeCell ref="G20:I20"/>
    <mergeCell ref="J20:M20"/>
    <mergeCell ref="A17:C17"/>
    <mergeCell ref="D17:F17"/>
    <mergeCell ref="G17:I17"/>
    <mergeCell ref="J17:M17"/>
    <mergeCell ref="A18:C18"/>
    <mergeCell ref="D18:F18"/>
    <mergeCell ref="G18:I18"/>
    <mergeCell ref="J18:M18"/>
    <mergeCell ref="A15:C15"/>
    <mergeCell ref="D15:F15"/>
    <mergeCell ref="G15:I15"/>
    <mergeCell ref="J15:M15"/>
    <mergeCell ref="A16:C16"/>
    <mergeCell ref="D16:F16"/>
    <mergeCell ref="G16:I16"/>
    <mergeCell ref="J16:M16"/>
    <mergeCell ref="A10:M10"/>
    <mergeCell ref="A13:F13"/>
    <mergeCell ref="G13:M13"/>
    <mergeCell ref="A14:C14"/>
    <mergeCell ref="D14:F14"/>
    <mergeCell ref="G14:I14"/>
    <mergeCell ref="J14:M14"/>
    <mergeCell ref="A2:M2"/>
    <mergeCell ref="A3:M3"/>
    <mergeCell ref="A4:M4"/>
    <mergeCell ref="A7:M7"/>
    <mergeCell ref="A8:M8"/>
  </mergeCells>
  <pageMargins left="0.75" right="0.75" top="1" bottom="1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A84C"/>
  </sheetPr>
  <dimension ref="A1:F44"/>
  <sheetViews>
    <sheetView showGridLines="0" zoomScaleNormal="100" workbookViewId="0">
      <pane ySplit="4" topLeftCell="A5" activePane="bottomLeft" state="frozen"/>
      <selection pane="bottomLeft" activeCell="A35" sqref="A35:F1048576"/>
    </sheetView>
  </sheetViews>
  <sheetFormatPr defaultColWidth="0" defaultRowHeight="15" zeroHeight="1"/>
  <cols>
    <col min="1" max="1" width="4" customWidth="1"/>
    <col min="2" max="2" width="8" customWidth="1"/>
    <col min="3" max="3" width="40" customWidth="1"/>
    <col min="4" max="4" width="28" customWidth="1"/>
    <col min="5" max="5" width="18" customWidth="1"/>
    <col min="6" max="6" width="8.7109375" customWidth="1"/>
    <col min="7" max="16384" width="8.7109375" hidden="1"/>
  </cols>
  <sheetData>
    <row r="1" spans="1:6" ht="31.5" customHeight="1">
      <c r="A1" s="1" t="s">
        <v>26</v>
      </c>
      <c r="B1" s="1"/>
      <c r="C1" s="1"/>
      <c r="D1" s="1"/>
      <c r="E1" s="1"/>
      <c r="F1" s="15"/>
    </row>
    <row r="2" spans="1:6" ht="3.75" customHeight="1">
      <c r="A2" s="16"/>
      <c r="B2" s="16"/>
      <c r="C2" s="16"/>
      <c r="D2" s="16"/>
      <c r="E2" s="16"/>
      <c r="F2" s="16"/>
    </row>
    <row r="3" spans="1:6" ht="15.75" customHeight="1">
      <c r="A3" s="15"/>
      <c r="B3" s="15"/>
      <c r="C3" s="15"/>
      <c r="D3" s="15"/>
      <c r="E3" s="15"/>
      <c r="F3" s="15"/>
    </row>
    <row r="4" spans="1:6" ht="18" customHeight="1">
      <c r="A4" s="15"/>
      <c r="B4" s="17" t="s">
        <v>27</v>
      </c>
      <c r="C4" s="17" t="s">
        <v>28</v>
      </c>
      <c r="D4" s="17" t="s">
        <v>29</v>
      </c>
      <c r="E4" s="18" t="s">
        <v>30</v>
      </c>
      <c r="F4" s="15"/>
    </row>
    <row r="5" spans="1:6" ht="18.75" customHeight="1">
      <c r="A5" s="15"/>
      <c r="B5" s="19" t="s">
        <v>31</v>
      </c>
      <c r="C5" s="20" t="s">
        <v>32</v>
      </c>
      <c r="D5" s="21" t="s">
        <v>33</v>
      </c>
      <c r="E5" s="22" t="s">
        <v>34</v>
      </c>
      <c r="F5" s="15"/>
    </row>
    <row r="6" spans="1:6" ht="18.75" customHeight="1">
      <c r="A6" s="15"/>
      <c r="B6" s="19" t="s">
        <v>35</v>
      </c>
      <c r="C6" s="20" t="s">
        <v>36</v>
      </c>
      <c r="D6" s="21" t="s">
        <v>37</v>
      </c>
      <c r="E6" s="22" t="s">
        <v>38</v>
      </c>
      <c r="F6" s="15"/>
    </row>
    <row r="7" spans="1:6" ht="18.75" customHeight="1">
      <c r="A7" s="15"/>
      <c r="B7" s="19" t="s">
        <v>39</v>
      </c>
      <c r="C7" s="23" t="s">
        <v>40</v>
      </c>
      <c r="D7" s="21" t="s">
        <v>41</v>
      </c>
      <c r="E7" s="22" t="s">
        <v>42</v>
      </c>
      <c r="F7" s="15"/>
    </row>
    <row r="8" spans="1:6" ht="18.75" customHeight="1">
      <c r="A8" s="15"/>
      <c r="B8" s="19" t="s">
        <v>43</v>
      </c>
      <c r="C8" s="23" t="s">
        <v>44</v>
      </c>
      <c r="D8" s="21" t="s">
        <v>45</v>
      </c>
      <c r="E8" s="22" t="s">
        <v>46</v>
      </c>
      <c r="F8" s="15"/>
    </row>
    <row r="9" spans="1:6" ht="18.75" customHeight="1">
      <c r="A9" s="15"/>
      <c r="B9" s="19" t="s">
        <v>47</v>
      </c>
      <c r="C9" s="24" t="s">
        <v>48</v>
      </c>
      <c r="D9" s="21" t="s">
        <v>49</v>
      </c>
      <c r="E9" s="22" t="s">
        <v>50</v>
      </c>
      <c r="F9" s="15"/>
    </row>
    <row r="10" spans="1:6" ht="18.75" customHeight="1">
      <c r="A10" s="15"/>
      <c r="B10" s="19" t="s">
        <v>51</v>
      </c>
      <c r="C10" s="24" t="s">
        <v>52</v>
      </c>
      <c r="D10" s="21" t="s">
        <v>53</v>
      </c>
      <c r="E10" s="22" t="s">
        <v>54</v>
      </c>
      <c r="F10" s="15"/>
    </row>
    <row r="11" spans="1:6" ht="18.75" customHeight="1">
      <c r="A11" s="15"/>
      <c r="B11" s="19" t="s">
        <v>55</v>
      </c>
      <c r="C11" s="24" t="s">
        <v>56</v>
      </c>
      <c r="D11" s="21" t="s">
        <v>57</v>
      </c>
      <c r="E11" s="22" t="s">
        <v>58</v>
      </c>
      <c r="F11" s="15"/>
    </row>
    <row r="12" spans="1:6" ht="18.75" customHeight="1">
      <c r="A12" s="15"/>
      <c r="B12" s="19" t="s">
        <v>59</v>
      </c>
      <c r="C12" s="24" t="s">
        <v>60</v>
      </c>
      <c r="D12" s="21" t="s">
        <v>61</v>
      </c>
      <c r="E12" s="22" t="s">
        <v>62</v>
      </c>
      <c r="F12" s="15"/>
    </row>
    <row r="13" spans="1:6" ht="18.75" customHeight="1">
      <c r="A13" s="15"/>
      <c r="B13" s="19" t="s">
        <v>63</v>
      </c>
      <c r="C13" s="25" t="s">
        <v>64</v>
      </c>
      <c r="D13" s="21" t="s">
        <v>65</v>
      </c>
      <c r="E13" s="22" t="s">
        <v>66</v>
      </c>
      <c r="F13" s="15"/>
    </row>
    <row r="14" spans="1:6" ht="18.75" customHeight="1">
      <c r="A14" s="15"/>
      <c r="B14" s="19" t="s">
        <v>67</v>
      </c>
      <c r="C14" s="25" t="s">
        <v>68</v>
      </c>
      <c r="D14" s="21" t="s">
        <v>69</v>
      </c>
      <c r="E14" s="22" t="s">
        <v>70</v>
      </c>
      <c r="F14" s="15"/>
    </row>
    <row r="15" spans="1:6" ht="18.75" customHeight="1">
      <c r="A15" s="15"/>
      <c r="B15" s="19" t="s">
        <v>71</v>
      </c>
      <c r="C15" s="25" t="s">
        <v>72</v>
      </c>
      <c r="D15" s="21" t="s">
        <v>73</v>
      </c>
      <c r="E15" s="22" t="s">
        <v>74</v>
      </c>
      <c r="F15" s="15"/>
    </row>
    <row r="16" spans="1:6" ht="18.75" customHeight="1">
      <c r="A16" s="15"/>
      <c r="B16" s="19" t="s">
        <v>75</v>
      </c>
      <c r="C16" s="25" t="s">
        <v>76</v>
      </c>
      <c r="D16" s="21" t="s">
        <v>77</v>
      </c>
      <c r="E16" s="22" t="s">
        <v>78</v>
      </c>
      <c r="F16" s="15"/>
    </row>
    <row r="17" spans="1:6" ht="18.75" customHeight="1">
      <c r="A17" s="15"/>
      <c r="B17" s="19" t="s">
        <v>79</v>
      </c>
      <c r="C17" s="25" t="s">
        <v>80</v>
      </c>
      <c r="D17" s="21" t="s">
        <v>81</v>
      </c>
      <c r="E17" s="22" t="s">
        <v>82</v>
      </c>
      <c r="F17" s="15"/>
    </row>
    <row r="18" spans="1:6" ht="18.75" customHeight="1">
      <c r="A18" s="15"/>
      <c r="B18" s="19" t="s">
        <v>83</v>
      </c>
      <c r="C18" s="26" t="s">
        <v>84</v>
      </c>
      <c r="D18" s="21" t="s">
        <v>85</v>
      </c>
      <c r="E18" s="22" t="s">
        <v>86</v>
      </c>
      <c r="F18" s="15"/>
    </row>
    <row r="19" spans="1:6" ht="18.75" customHeight="1">
      <c r="A19" s="15"/>
      <c r="B19" s="19" t="s">
        <v>87</v>
      </c>
      <c r="C19" s="26" t="s">
        <v>88</v>
      </c>
      <c r="D19" s="21" t="s">
        <v>89</v>
      </c>
      <c r="E19" s="22" t="s">
        <v>90</v>
      </c>
      <c r="F19" s="15"/>
    </row>
    <row r="20" spans="1:6" ht="15.75" customHeight="1">
      <c r="A20" s="15"/>
      <c r="B20" s="15"/>
      <c r="C20" s="15"/>
      <c r="D20" s="15"/>
      <c r="E20" s="15"/>
      <c r="F20" s="15"/>
    </row>
    <row r="21" spans="1:6" ht="15.75" customHeight="1">
      <c r="A21" s="15"/>
      <c r="B21" s="15"/>
      <c r="C21" s="15"/>
      <c r="D21" s="15"/>
      <c r="E21" s="15"/>
      <c r="F21" s="15"/>
    </row>
    <row r="22" spans="1:6" ht="15.75" customHeight="1">
      <c r="A22" s="15"/>
      <c r="B22" s="15"/>
      <c r="C22" s="15"/>
      <c r="D22" s="15"/>
      <c r="E22" s="15"/>
      <c r="F22" s="15"/>
    </row>
    <row r="23" spans="1:6" ht="15.75" customHeight="1">
      <c r="A23" s="15"/>
      <c r="B23" s="15"/>
      <c r="C23" s="15"/>
      <c r="D23" s="15"/>
      <c r="E23" s="15"/>
      <c r="F23" s="15"/>
    </row>
    <row r="24" spans="1:6" ht="15.75" customHeight="1">
      <c r="A24" s="15"/>
      <c r="B24" s="15"/>
      <c r="C24" s="15"/>
      <c r="D24" s="15"/>
      <c r="E24" s="15"/>
      <c r="F24" s="15"/>
    </row>
    <row r="25" spans="1:6" ht="15.75" customHeight="1">
      <c r="A25" s="15"/>
      <c r="B25" s="15"/>
      <c r="C25" s="15"/>
      <c r="D25" s="15"/>
      <c r="E25" s="15"/>
      <c r="F25" s="15"/>
    </row>
    <row r="26" spans="1:6" ht="15.75" customHeight="1">
      <c r="A26" s="15"/>
      <c r="B26" s="15"/>
      <c r="C26" s="15"/>
      <c r="D26" s="15"/>
      <c r="E26" s="15"/>
      <c r="F26" s="15"/>
    </row>
    <row r="27" spans="1:6" ht="15.75" customHeight="1">
      <c r="A27" s="15"/>
      <c r="B27" s="15"/>
      <c r="C27" s="15"/>
      <c r="D27" s="15"/>
      <c r="E27" s="15"/>
      <c r="F27" s="15"/>
    </row>
    <row r="28" spans="1:6" ht="15.75" customHeight="1">
      <c r="A28" s="15"/>
      <c r="B28" s="15"/>
      <c r="C28" s="15"/>
      <c r="D28" s="15"/>
      <c r="E28" s="15"/>
      <c r="F28" s="15"/>
    </row>
    <row r="29" spans="1:6" ht="15.75" customHeight="1">
      <c r="A29" s="15"/>
      <c r="B29" s="15"/>
      <c r="C29" s="15"/>
      <c r="D29" s="15"/>
      <c r="E29" s="15"/>
      <c r="F29" s="15"/>
    </row>
    <row r="30" spans="1:6" ht="15.75" customHeight="1">
      <c r="A30" s="15"/>
      <c r="B30" s="15"/>
      <c r="C30" s="15"/>
      <c r="D30" s="15"/>
      <c r="E30" s="15"/>
      <c r="F30" s="15"/>
    </row>
    <row r="31" spans="1:6" ht="15.75" customHeight="1">
      <c r="A31" s="15"/>
      <c r="B31" s="15"/>
      <c r="C31" s="15"/>
      <c r="D31" s="15"/>
      <c r="E31" s="15"/>
      <c r="F31" s="15"/>
    </row>
    <row r="32" spans="1:6" ht="15.75" customHeight="1">
      <c r="A32" s="15"/>
      <c r="B32" s="15"/>
      <c r="C32" s="15"/>
      <c r="D32" s="15"/>
      <c r="E32" s="15"/>
      <c r="F32" s="15"/>
    </row>
    <row r="33" spans="1:6" ht="15.75" customHeight="1">
      <c r="A33" s="15"/>
      <c r="B33" s="15"/>
      <c r="C33" s="15"/>
      <c r="D33" s="15"/>
      <c r="E33" s="15"/>
      <c r="F33" s="15"/>
    </row>
    <row r="34" spans="1:6" ht="15.75" customHeight="1">
      <c r="A34" s="15"/>
      <c r="B34" s="15"/>
      <c r="C34" s="15"/>
      <c r="D34" s="15"/>
      <c r="E34" s="15"/>
      <c r="F34" s="15"/>
    </row>
    <row r="35" spans="1:6" ht="15.75" hidden="1" customHeight="1">
      <c r="A35" s="15"/>
      <c r="B35" s="15"/>
      <c r="C35" s="15"/>
      <c r="D35" s="15"/>
      <c r="E35" s="15"/>
      <c r="F35" s="15"/>
    </row>
    <row r="36" spans="1:6" ht="15.75" hidden="1" customHeight="1">
      <c r="A36" s="15"/>
      <c r="B36" s="15"/>
      <c r="C36" s="15"/>
      <c r="D36" s="15"/>
      <c r="E36" s="15"/>
      <c r="F36" s="15"/>
    </row>
    <row r="37" spans="1:6" ht="15.75" hidden="1" customHeight="1">
      <c r="A37" s="15"/>
      <c r="B37" s="15"/>
      <c r="C37" s="15"/>
      <c r="D37" s="15"/>
      <c r="E37" s="15"/>
      <c r="F37" s="15"/>
    </row>
    <row r="38" spans="1:6" ht="15.75" hidden="1" customHeight="1">
      <c r="A38" s="15"/>
      <c r="B38" s="15"/>
      <c r="C38" s="15"/>
      <c r="D38" s="15"/>
      <c r="E38" s="15"/>
      <c r="F38" s="15"/>
    </row>
    <row r="39" spans="1:6" ht="15.75" hidden="1" customHeight="1">
      <c r="A39" s="15"/>
      <c r="B39" s="15"/>
      <c r="C39" s="15"/>
      <c r="D39" s="15"/>
      <c r="E39" s="15"/>
      <c r="F39" s="15"/>
    </row>
    <row r="40" spans="1:6" ht="15.75" hidden="1" customHeight="1">
      <c r="A40" s="15"/>
      <c r="B40" s="15"/>
      <c r="C40" s="15"/>
      <c r="D40" s="15"/>
      <c r="E40" s="15"/>
      <c r="F40" s="15"/>
    </row>
    <row r="41" spans="1:6" ht="15.75" hidden="1" customHeight="1">
      <c r="A41" s="15"/>
      <c r="B41" s="15"/>
      <c r="C41" s="15"/>
      <c r="D41" s="15"/>
      <c r="E41" s="15"/>
      <c r="F41" s="15"/>
    </row>
    <row r="42" spans="1:6" ht="15.75" hidden="1" customHeight="1">
      <c r="A42" s="15"/>
      <c r="B42" s="15"/>
      <c r="C42" s="15"/>
      <c r="D42" s="15"/>
      <c r="E42" s="15"/>
      <c r="F42" s="15"/>
    </row>
    <row r="43" spans="1:6" ht="15.75" hidden="1" customHeight="1">
      <c r="A43" s="15"/>
      <c r="B43" s="15"/>
      <c r="C43" s="15"/>
      <c r="D43" s="15"/>
      <c r="E43" s="15"/>
      <c r="F43" s="15"/>
    </row>
    <row r="44" spans="1:6" ht="15.75" hidden="1" customHeight="1">
      <c r="A44" s="15"/>
      <c r="B44" s="15"/>
      <c r="C44" s="15"/>
      <c r="D44" s="15"/>
      <c r="E44" s="15"/>
      <c r="F44" s="15"/>
    </row>
  </sheetData>
  <mergeCells count="1">
    <mergeCell ref="A1:E1"/>
  </mergeCells>
  <hyperlinks>
    <hyperlink ref="C5" r:id="rId1" location="COVER!A1" xr:uid="{00000000-0004-0000-0100-000000000000}"/>
    <hyperlink ref="C6" r:id="rId2" location="INDEX!A1" xr:uid="{00000000-0004-0000-0100-000001000000}"/>
    <hyperlink ref="C7" r:id="rId3" location="ASSUMPTIONS!A1" xr:uid="{00000000-0004-0000-0100-000002000000}"/>
    <hyperlink ref="C8" r:id="rId4" location="CAPEX!A1" xr:uid="{00000000-0004-0000-0100-000003000000}"/>
    <hyperlink ref="C9" r:id="rId5" location="REVENUE!A1" xr:uid="{00000000-0004-0000-0100-000004000000}"/>
    <hyperlink ref="C10" r:id="rId6" location="P&amp;L!A1" xr:uid="{00000000-0004-0000-0100-000005000000}"/>
    <hyperlink ref="C11" r:id="rId7" location="OPEX!A1" xr:uid="{00000000-0004-0000-0100-000006000000}"/>
    <hyperlink ref="C12" r:id="rId8" location="WORKING_CAPITAL!A1" xr:uid="{00000000-0004-0000-0100-000007000000}"/>
    <hyperlink ref="C13" r:id="rId9" location="DCF_VALUATION!A1" xr:uid="{00000000-0004-0000-0100-000008000000}"/>
    <hyperlink ref="C14" r:id="rId10" location="RETURNS_IRR!A1" xr:uid="{00000000-0004-0000-0100-000009000000}"/>
    <hyperlink ref="C15" r:id="rId11" location="SENSITIVITY!A1" xr:uid="{00000000-0004-0000-0100-00000A000000}"/>
    <hyperlink ref="C16" r:id="rId12" location="BREAK_EVEN!A1" xr:uid="{00000000-0004-0000-0100-00000B000000}"/>
    <hyperlink ref="C17" r:id="rId13" location="CAP_TABLE!A1" xr:uid="{00000000-0004-0000-0100-00000C000000}"/>
    <hyperlink ref="C18" r:id="rId14" location="INVESTOR_DASHBOARD!A1" xr:uid="{00000000-0004-0000-0100-00000D000000}"/>
    <hyperlink ref="C19" r:id="rId15" location="INVESTOR_SUMMARY!A1" xr:uid="{00000000-0004-0000-0100-00000E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8C00"/>
  </sheetPr>
  <dimension ref="A1:G66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ColWidth="8.7109375" defaultRowHeight="15"/>
  <cols>
    <col min="1" max="1" width="3" customWidth="1"/>
    <col min="2" max="2" width="38" customWidth="1"/>
    <col min="3" max="6" width="16" customWidth="1"/>
    <col min="7" max="7" width="30" customWidth="1"/>
  </cols>
  <sheetData>
    <row r="1" spans="1:7" ht="27.75" customHeight="1">
      <c r="A1" s="150" t="s">
        <v>91</v>
      </c>
      <c r="B1" s="150"/>
      <c r="C1" s="150"/>
      <c r="D1" s="150"/>
      <c r="E1" s="150"/>
      <c r="F1" s="150"/>
      <c r="G1" s="150"/>
    </row>
    <row r="2" spans="1:7" ht="15" customHeight="1">
      <c r="A2" s="27"/>
      <c r="B2" s="28" t="s">
        <v>92</v>
      </c>
      <c r="C2" s="29" t="s">
        <v>93</v>
      </c>
      <c r="D2" s="30" t="s">
        <v>94</v>
      </c>
      <c r="E2" s="31" t="s">
        <v>95</v>
      </c>
      <c r="F2" s="32" t="s">
        <v>96</v>
      </c>
      <c r="G2" s="28" t="s">
        <v>97</v>
      </c>
    </row>
    <row r="3" spans="1:7" ht="18" customHeight="1">
      <c r="A3" s="151" t="s">
        <v>98</v>
      </c>
      <c r="B3" s="151"/>
      <c r="C3" s="151"/>
      <c r="D3" s="151"/>
      <c r="E3" s="151"/>
      <c r="F3" s="151"/>
      <c r="G3" s="151"/>
    </row>
    <row r="4" spans="1:7" ht="21.75" customHeight="1">
      <c r="B4" s="33" t="s">
        <v>99</v>
      </c>
      <c r="C4" s="34" t="s">
        <v>93</v>
      </c>
      <c r="G4" s="35" t="s">
        <v>100</v>
      </c>
    </row>
    <row r="6" spans="1:7" ht="21.75" customHeight="1">
      <c r="A6" s="152" t="s">
        <v>101</v>
      </c>
      <c r="B6" s="152"/>
      <c r="C6" s="152"/>
      <c r="D6" s="152"/>
      <c r="E6" s="152"/>
      <c r="F6" s="152"/>
      <c r="G6" s="152"/>
    </row>
    <row r="7" spans="1:7" ht="16.5" customHeight="1">
      <c r="B7" s="36" t="s">
        <v>102</v>
      </c>
      <c r="C7" s="37">
        <v>6.5</v>
      </c>
      <c r="D7" s="38">
        <v>5.2</v>
      </c>
      <c r="E7" s="39">
        <v>4.5</v>
      </c>
      <c r="F7" s="40">
        <f t="shared" ref="F7:F13" si="0">IF($C$4="Base Case",C7,IF($C$4="Bull Case",D7,E7))</f>
        <v>6.5</v>
      </c>
      <c r="G7" s="41" t="s">
        <v>103</v>
      </c>
    </row>
    <row r="8" spans="1:7" ht="16.5" customHeight="1">
      <c r="B8" s="36" t="s">
        <v>104</v>
      </c>
      <c r="C8" s="42">
        <v>0.08</v>
      </c>
      <c r="D8" s="43">
        <v>0.05</v>
      </c>
      <c r="E8" s="44">
        <v>0.12</v>
      </c>
      <c r="F8" s="45">
        <f t="shared" si="0"/>
        <v>0.08</v>
      </c>
      <c r="G8" s="41" t="s">
        <v>105</v>
      </c>
    </row>
    <row r="9" spans="1:7" ht="16.5" customHeight="1">
      <c r="B9" s="36" t="s">
        <v>106</v>
      </c>
      <c r="C9" s="42">
        <v>0.2</v>
      </c>
      <c r="D9" s="43">
        <v>0.15</v>
      </c>
      <c r="E9" s="44">
        <v>0.22</v>
      </c>
      <c r="F9" s="45">
        <f t="shared" si="0"/>
        <v>0.2</v>
      </c>
      <c r="G9" s="41" t="s">
        <v>107</v>
      </c>
    </row>
    <row r="10" spans="1:7" ht="16.5" customHeight="1">
      <c r="B10" s="36" t="s">
        <v>108</v>
      </c>
      <c r="C10" s="42">
        <v>0.18</v>
      </c>
      <c r="D10" s="43">
        <v>0.15</v>
      </c>
      <c r="E10" s="44">
        <v>0.22</v>
      </c>
      <c r="F10" s="45">
        <f t="shared" si="0"/>
        <v>0.18</v>
      </c>
      <c r="G10" s="41" t="s">
        <v>109</v>
      </c>
    </row>
    <row r="11" spans="1:7" ht="16.5" customHeight="1">
      <c r="B11" s="36" t="s">
        <v>110</v>
      </c>
      <c r="C11" s="42">
        <v>0.03</v>
      </c>
      <c r="D11" s="43">
        <v>0.04</v>
      </c>
      <c r="E11" s="44">
        <v>0.02</v>
      </c>
      <c r="F11" s="45">
        <f t="shared" si="0"/>
        <v>0.03</v>
      </c>
      <c r="G11" s="41" t="s">
        <v>111</v>
      </c>
    </row>
    <row r="12" spans="1:7" ht="16.5" customHeight="1">
      <c r="B12" s="36" t="s">
        <v>112</v>
      </c>
      <c r="C12" s="42">
        <v>0.05</v>
      </c>
      <c r="D12" s="43">
        <v>0.05</v>
      </c>
      <c r="E12" s="44">
        <v>0.05</v>
      </c>
      <c r="F12" s="45">
        <f t="shared" si="0"/>
        <v>0.05</v>
      </c>
      <c r="G12" s="41" t="s">
        <v>113</v>
      </c>
    </row>
    <row r="13" spans="1:7" ht="16.5" customHeight="1">
      <c r="B13" s="36" t="s">
        <v>114</v>
      </c>
      <c r="C13" s="42">
        <v>0.08</v>
      </c>
      <c r="D13" s="43">
        <v>0.06</v>
      </c>
      <c r="E13" s="44">
        <v>0.1</v>
      </c>
      <c r="F13" s="45">
        <f t="shared" si="0"/>
        <v>0.08</v>
      </c>
      <c r="G13" s="41" t="s">
        <v>115</v>
      </c>
    </row>
    <row r="15" spans="1:7" ht="21.75" customHeight="1">
      <c r="A15" s="152" t="s">
        <v>116</v>
      </c>
      <c r="B15" s="152"/>
      <c r="C15" s="152"/>
      <c r="D15" s="152"/>
      <c r="E15" s="152"/>
      <c r="F15" s="152"/>
      <c r="G15" s="152"/>
    </row>
    <row r="16" spans="1:7" ht="16.5" customHeight="1">
      <c r="B16" s="36" t="s">
        <v>117</v>
      </c>
      <c r="C16" s="46">
        <v>4</v>
      </c>
      <c r="D16" s="47">
        <v>5</v>
      </c>
      <c r="E16" s="48">
        <v>3</v>
      </c>
      <c r="F16" s="49">
        <f t="shared" ref="F16:F25" si="1">IF($C$4="Base Case",C16,IF($C$4="Bull Case",D16,E16))</f>
        <v>4</v>
      </c>
      <c r="G16" s="41" t="s">
        <v>118</v>
      </c>
    </row>
    <row r="17" spans="1:7" ht="16.5" customHeight="1">
      <c r="B17" s="36" t="s">
        <v>119</v>
      </c>
      <c r="C17" s="46">
        <v>3</v>
      </c>
      <c r="D17" s="47">
        <v>4</v>
      </c>
      <c r="E17" s="48">
        <v>2</v>
      </c>
      <c r="F17" s="49">
        <f t="shared" si="1"/>
        <v>3</v>
      </c>
      <c r="G17" s="41" t="s">
        <v>120</v>
      </c>
    </row>
    <row r="18" spans="1:7" ht="16.5" customHeight="1">
      <c r="B18" s="36" t="s">
        <v>121</v>
      </c>
      <c r="C18" s="46">
        <v>7</v>
      </c>
      <c r="D18" s="47">
        <v>9</v>
      </c>
      <c r="E18" s="48">
        <v>5</v>
      </c>
      <c r="F18" s="49">
        <f t="shared" si="1"/>
        <v>7</v>
      </c>
      <c r="G18" s="41" t="s">
        <v>122</v>
      </c>
    </row>
    <row r="19" spans="1:7" ht="16.5" customHeight="1">
      <c r="B19" s="36" t="s">
        <v>123</v>
      </c>
      <c r="C19" s="46">
        <v>20</v>
      </c>
      <c r="D19" s="47">
        <v>25</v>
      </c>
      <c r="E19" s="48">
        <v>14</v>
      </c>
      <c r="F19" s="49">
        <f t="shared" si="1"/>
        <v>20</v>
      </c>
      <c r="G19" s="41" t="s">
        <v>124</v>
      </c>
    </row>
    <row r="20" spans="1:7" ht="16.5" customHeight="1">
      <c r="B20" s="36" t="s">
        <v>125</v>
      </c>
      <c r="C20" s="50">
        <v>0.75</v>
      </c>
      <c r="D20" s="51">
        <v>0.85</v>
      </c>
      <c r="E20" s="52">
        <v>0.6</v>
      </c>
      <c r="F20" s="53">
        <f t="shared" si="1"/>
        <v>0.75</v>
      </c>
      <c r="G20" s="41" t="s">
        <v>126</v>
      </c>
    </row>
    <row r="21" spans="1:7" ht="16.5" customHeight="1">
      <c r="B21" s="36" t="s">
        <v>127</v>
      </c>
      <c r="C21" s="50">
        <v>0.9</v>
      </c>
      <c r="D21" s="51">
        <v>0.95</v>
      </c>
      <c r="E21" s="52">
        <v>0.8</v>
      </c>
      <c r="F21" s="53">
        <f t="shared" si="1"/>
        <v>0.9</v>
      </c>
      <c r="G21" s="41"/>
    </row>
    <row r="22" spans="1:7" ht="16.5" customHeight="1">
      <c r="B22" s="36" t="s">
        <v>128</v>
      </c>
      <c r="C22" s="50">
        <v>0.25</v>
      </c>
      <c r="D22" s="51">
        <v>0.3</v>
      </c>
      <c r="E22" s="52">
        <v>0.15</v>
      </c>
      <c r="F22" s="53">
        <f t="shared" si="1"/>
        <v>0.25</v>
      </c>
      <c r="G22" s="41" t="s">
        <v>129</v>
      </c>
    </row>
    <row r="23" spans="1:7" ht="16.5" customHeight="1">
      <c r="B23" s="36" t="s">
        <v>130</v>
      </c>
      <c r="C23" s="50">
        <v>0.03</v>
      </c>
      <c r="D23" s="51">
        <v>0.02</v>
      </c>
      <c r="E23" s="52">
        <v>0.05</v>
      </c>
      <c r="F23" s="53">
        <f t="shared" si="1"/>
        <v>0.03</v>
      </c>
      <c r="G23" s="41" t="s">
        <v>131</v>
      </c>
    </row>
    <row r="24" spans="1:7" ht="16.5" customHeight="1">
      <c r="B24" s="36" t="s">
        <v>132</v>
      </c>
      <c r="C24" s="46">
        <v>2</v>
      </c>
      <c r="D24" s="47">
        <v>1</v>
      </c>
      <c r="E24" s="48">
        <v>4</v>
      </c>
      <c r="F24" s="49">
        <f t="shared" si="1"/>
        <v>2</v>
      </c>
      <c r="G24" s="41" t="s">
        <v>133</v>
      </c>
    </row>
    <row r="25" spans="1:7" ht="16.5" customHeight="1">
      <c r="B25" s="36" t="s">
        <v>134</v>
      </c>
      <c r="C25" s="46">
        <v>26</v>
      </c>
      <c r="D25" s="47">
        <v>26</v>
      </c>
      <c r="E25" s="48">
        <v>24</v>
      </c>
      <c r="F25" s="49">
        <f t="shared" si="1"/>
        <v>26</v>
      </c>
      <c r="G25" s="41"/>
    </row>
    <row r="27" spans="1:7" ht="21.75" customHeight="1">
      <c r="A27" s="152" t="s">
        <v>135</v>
      </c>
      <c r="B27" s="152"/>
      <c r="C27" s="152"/>
      <c r="D27" s="152"/>
      <c r="E27" s="152"/>
      <c r="F27" s="152"/>
      <c r="G27" s="152"/>
    </row>
    <row r="28" spans="1:7" ht="16.5" customHeight="1">
      <c r="B28" s="36" t="s">
        <v>136</v>
      </c>
      <c r="C28" s="54">
        <v>50000</v>
      </c>
      <c r="D28" s="55">
        <v>55000</v>
      </c>
      <c r="E28" s="56">
        <v>45000</v>
      </c>
      <c r="F28" s="49">
        <f t="shared" ref="F28:F36" si="2">IF($C$4="Base Case",C28,IF($C$4="Bull Case",D28,E28))</f>
        <v>50000</v>
      </c>
      <c r="G28" s="41" t="s">
        <v>137</v>
      </c>
    </row>
    <row r="29" spans="1:7" ht="16.5" customHeight="1">
      <c r="B29" s="36" t="s">
        <v>138</v>
      </c>
      <c r="C29" s="54">
        <v>20000</v>
      </c>
      <c r="D29" s="55">
        <v>19000</v>
      </c>
      <c r="E29" s="56">
        <v>22000</v>
      </c>
      <c r="F29" s="49">
        <f t="shared" si="2"/>
        <v>20000</v>
      </c>
      <c r="G29" s="41"/>
    </row>
    <row r="30" spans="1:7" ht="16.5" customHeight="1">
      <c r="B30" s="36" t="s">
        <v>139</v>
      </c>
      <c r="C30" s="50">
        <v>0.6</v>
      </c>
      <c r="D30" s="51">
        <v>0.65500000000000003</v>
      </c>
      <c r="E30" s="52">
        <v>0.51100000000000001</v>
      </c>
      <c r="F30" s="53">
        <f t="shared" si="2"/>
        <v>0.6</v>
      </c>
      <c r="G30" s="41" t="s">
        <v>140</v>
      </c>
    </row>
    <row r="31" spans="1:7" ht="16.5" customHeight="1">
      <c r="B31" s="36" t="s">
        <v>141</v>
      </c>
      <c r="C31" s="54">
        <v>60000</v>
      </c>
      <c r="D31" s="55">
        <v>67000</v>
      </c>
      <c r="E31" s="56">
        <v>54000</v>
      </c>
      <c r="F31" s="49">
        <f t="shared" si="2"/>
        <v>60000</v>
      </c>
      <c r="G31" s="41" t="s">
        <v>142</v>
      </c>
    </row>
    <row r="32" spans="1:7" ht="16.5" customHeight="1">
      <c r="B32" s="36" t="s">
        <v>143</v>
      </c>
      <c r="C32" s="54">
        <v>30000</v>
      </c>
      <c r="D32" s="55">
        <v>28500</v>
      </c>
      <c r="E32" s="56">
        <v>33000</v>
      </c>
      <c r="F32" s="49">
        <f t="shared" si="2"/>
        <v>30000</v>
      </c>
      <c r="G32" s="41"/>
    </row>
    <row r="33" spans="1:7" ht="16.5" customHeight="1">
      <c r="B33" s="36" t="s">
        <v>144</v>
      </c>
      <c r="C33" s="50">
        <v>0.5</v>
      </c>
      <c r="D33" s="51">
        <v>0.57499999999999996</v>
      </c>
      <c r="E33" s="52">
        <v>0.38900000000000001</v>
      </c>
      <c r="F33" s="53">
        <f t="shared" si="2"/>
        <v>0.5</v>
      </c>
      <c r="G33" s="41"/>
    </row>
    <row r="34" spans="1:7" ht="16.5" customHeight="1">
      <c r="B34" s="36" t="s">
        <v>145</v>
      </c>
      <c r="C34" s="50">
        <v>0.05</v>
      </c>
      <c r="D34" s="51">
        <v>7.0000000000000007E-2</v>
      </c>
      <c r="E34" s="52">
        <v>0.03</v>
      </c>
      <c r="F34" s="53">
        <f t="shared" si="2"/>
        <v>0.05</v>
      </c>
      <c r="G34" s="41" t="s">
        <v>146</v>
      </c>
    </row>
    <row r="35" spans="1:7" ht="16.5" customHeight="1">
      <c r="B35" s="36" t="s">
        <v>147</v>
      </c>
      <c r="C35" s="50">
        <v>0.06</v>
      </c>
      <c r="D35" s="51">
        <v>0.04</v>
      </c>
      <c r="E35" s="52">
        <v>0.09</v>
      </c>
      <c r="F35" s="53">
        <f t="shared" si="2"/>
        <v>0.06</v>
      </c>
      <c r="G35" s="41" t="s">
        <v>148</v>
      </c>
    </row>
    <row r="36" spans="1:7" ht="16.5" customHeight="1">
      <c r="B36" s="36" t="s">
        <v>149</v>
      </c>
      <c r="C36" s="50">
        <v>7.0000000000000007E-2</v>
      </c>
      <c r="D36" s="51">
        <v>0.05</v>
      </c>
      <c r="E36" s="52">
        <v>0.1</v>
      </c>
      <c r="F36" s="53">
        <f t="shared" si="2"/>
        <v>7.0000000000000007E-2</v>
      </c>
      <c r="G36" s="41" t="s">
        <v>150</v>
      </c>
    </row>
    <row r="38" spans="1:7" ht="21.75" customHeight="1">
      <c r="A38" s="152" t="s">
        <v>151</v>
      </c>
      <c r="B38" s="152"/>
      <c r="C38" s="152"/>
      <c r="D38" s="152"/>
      <c r="E38" s="152"/>
      <c r="F38" s="152"/>
      <c r="G38" s="152"/>
    </row>
    <row r="39" spans="1:7" ht="16.5" customHeight="1">
      <c r="B39" s="36" t="s">
        <v>152</v>
      </c>
      <c r="C39" s="54">
        <v>1813000</v>
      </c>
      <c r="D39" s="55">
        <v>1813000</v>
      </c>
      <c r="E39" s="56">
        <v>1813000</v>
      </c>
      <c r="F39" s="49">
        <f t="shared" ref="F39:F50" si="3">IF($C$4="Base Case",C39,IF($C$4="Bull Case",D39,E39))</f>
        <v>1813000</v>
      </c>
      <c r="G39" s="41"/>
    </row>
    <row r="40" spans="1:7" ht="16.5" customHeight="1">
      <c r="B40" s="36" t="s">
        <v>153</v>
      </c>
      <c r="C40" s="54">
        <v>1113000</v>
      </c>
      <c r="D40" s="55">
        <v>1113000</v>
      </c>
      <c r="E40" s="56">
        <v>1113000</v>
      </c>
      <c r="F40" s="49">
        <f t="shared" si="3"/>
        <v>1113000</v>
      </c>
      <c r="G40" s="41"/>
    </row>
    <row r="41" spans="1:7" ht="16.5" customHeight="1">
      <c r="B41" s="36" t="s">
        <v>154</v>
      </c>
      <c r="C41" s="54">
        <v>1113000</v>
      </c>
      <c r="D41" s="55">
        <v>1113000</v>
      </c>
      <c r="E41" s="56">
        <v>1813000</v>
      </c>
      <c r="F41" s="49">
        <f t="shared" si="3"/>
        <v>1113000</v>
      </c>
      <c r="G41" s="41" t="s">
        <v>155</v>
      </c>
    </row>
    <row r="42" spans="1:7" ht="16.5" customHeight="1">
      <c r="B42" s="36" t="s">
        <v>156</v>
      </c>
      <c r="C42" s="54">
        <v>95000</v>
      </c>
      <c r="D42" s="55">
        <v>88000</v>
      </c>
      <c r="E42" s="56">
        <v>108000</v>
      </c>
      <c r="F42" s="49">
        <f t="shared" si="3"/>
        <v>95000</v>
      </c>
      <c r="G42" s="41" t="s">
        <v>157</v>
      </c>
    </row>
    <row r="43" spans="1:7" ht="16.5" customHeight="1">
      <c r="B43" s="36" t="s">
        <v>158</v>
      </c>
      <c r="C43" s="54">
        <v>3500</v>
      </c>
      <c r="D43" s="55">
        <v>3200</v>
      </c>
      <c r="E43" s="56">
        <v>4200</v>
      </c>
      <c r="F43" s="49">
        <f t="shared" si="3"/>
        <v>3500</v>
      </c>
      <c r="G43" s="41" t="s">
        <v>159</v>
      </c>
    </row>
    <row r="44" spans="1:7" ht="16.5" customHeight="1">
      <c r="B44" s="36" t="s">
        <v>160</v>
      </c>
      <c r="C44" s="46">
        <v>20</v>
      </c>
      <c r="D44" s="47">
        <v>20</v>
      </c>
      <c r="E44" s="48">
        <v>20</v>
      </c>
      <c r="F44" s="49">
        <f t="shared" si="3"/>
        <v>20</v>
      </c>
      <c r="G44" s="41" t="s">
        <v>161</v>
      </c>
    </row>
    <row r="45" spans="1:7" ht="16.5" customHeight="1">
      <c r="B45" s="36" t="s">
        <v>162</v>
      </c>
      <c r="C45" s="46">
        <v>10</v>
      </c>
      <c r="D45" s="47">
        <v>10</v>
      </c>
      <c r="E45" s="48">
        <v>10</v>
      </c>
      <c r="F45" s="49">
        <f t="shared" si="3"/>
        <v>10</v>
      </c>
      <c r="G45" s="41"/>
    </row>
    <row r="46" spans="1:7" ht="16.5" customHeight="1">
      <c r="B46" s="36" t="s">
        <v>163</v>
      </c>
      <c r="C46" s="46">
        <v>7</v>
      </c>
      <c r="D46" s="47">
        <v>7</v>
      </c>
      <c r="E46" s="48">
        <v>7</v>
      </c>
      <c r="F46" s="49">
        <f t="shared" si="3"/>
        <v>7</v>
      </c>
      <c r="G46" s="41"/>
    </row>
    <row r="47" spans="1:7" ht="16.5" customHeight="1">
      <c r="B47" s="36" t="s">
        <v>164</v>
      </c>
      <c r="C47" s="46">
        <v>5</v>
      </c>
      <c r="D47" s="47">
        <v>5</v>
      </c>
      <c r="E47" s="48">
        <v>5</v>
      </c>
      <c r="F47" s="49">
        <f t="shared" si="3"/>
        <v>5</v>
      </c>
      <c r="G47" s="41"/>
    </row>
    <row r="48" spans="1:7" ht="16.5" customHeight="1">
      <c r="B48" s="36" t="s">
        <v>165</v>
      </c>
      <c r="C48" s="46">
        <v>30</v>
      </c>
      <c r="D48" s="47">
        <v>25</v>
      </c>
      <c r="E48" s="48">
        <v>45</v>
      </c>
      <c r="F48" s="49">
        <f t="shared" si="3"/>
        <v>30</v>
      </c>
      <c r="G48" s="41"/>
    </row>
    <row r="49" spans="1:7" ht="16.5" customHeight="1">
      <c r="B49" s="36" t="s">
        <v>166</v>
      </c>
      <c r="C49" s="46">
        <v>45</v>
      </c>
      <c r="D49" s="47">
        <v>35</v>
      </c>
      <c r="E49" s="48">
        <v>60</v>
      </c>
      <c r="F49" s="49">
        <f t="shared" si="3"/>
        <v>45</v>
      </c>
      <c r="G49" s="41"/>
    </row>
    <row r="50" spans="1:7" ht="16.5" customHeight="1">
      <c r="B50" s="36" t="s">
        <v>167</v>
      </c>
      <c r="C50" s="46">
        <v>30</v>
      </c>
      <c r="D50" s="47">
        <v>35</v>
      </c>
      <c r="E50" s="48">
        <v>25</v>
      </c>
      <c r="F50" s="49">
        <f t="shared" si="3"/>
        <v>30</v>
      </c>
      <c r="G50" s="41"/>
    </row>
    <row r="52" spans="1:7" ht="21.75" customHeight="1">
      <c r="A52" s="152" t="s">
        <v>168</v>
      </c>
      <c r="B52" s="152"/>
      <c r="C52" s="152"/>
      <c r="D52" s="152"/>
      <c r="E52" s="152"/>
      <c r="F52" s="152"/>
      <c r="G52" s="152"/>
    </row>
    <row r="53" spans="1:7" ht="16.5" customHeight="1">
      <c r="B53" s="36" t="s">
        <v>169</v>
      </c>
      <c r="C53" s="50">
        <v>0.2</v>
      </c>
      <c r="D53" s="51">
        <v>0.2</v>
      </c>
      <c r="E53" s="52">
        <v>0.2</v>
      </c>
      <c r="F53" s="53">
        <f t="shared" ref="F53:F58" si="4">IF($C$4="Base Case",C53,IF($C$4="Bull Case",D53,E53))</f>
        <v>0.2</v>
      </c>
      <c r="G53" s="41" t="s">
        <v>170</v>
      </c>
    </row>
    <row r="54" spans="1:7" ht="16.5" customHeight="1">
      <c r="B54" s="36" t="s">
        <v>171</v>
      </c>
      <c r="C54" s="57">
        <v>5</v>
      </c>
      <c r="D54" s="58">
        <v>4</v>
      </c>
      <c r="E54" s="59">
        <v>6</v>
      </c>
      <c r="F54" s="60">
        <f t="shared" si="4"/>
        <v>5</v>
      </c>
      <c r="G54" s="41"/>
    </row>
    <row r="55" spans="1:7" ht="16.5" customHeight="1">
      <c r="B55" s="36" t="s">
        <v>172</v>
      </c>
      <c r="C55" s="57">
        <v>6</v>
      </c>
      <c r="D55" s="58">
        <v>8</v>
      </c>
      <c r="E55" s="59">
        <v>4.5</v>
      </c>
      <c r="F55" s="60">
        <f t="shared" si="4"/>
        <v>6</v>
      </c>
      <c r="G55" s="41" t="s">
        <v>173</v>
      </c>
    </row>
    <row r="56" spans="1:7" ht="16.5" customHeight="1">
      <c r="B56" s="36" t="s">
        <v>174</v>
      </c>
      <c r="C56" s="57">
        <v>1.5</v>
      </c>
      <c r="D56" s="58">
        <v>2</v>
      </c>
      <c r="E56" s="59">
        <v>1</v>
      </c>
      <c r="F56" s="60">
        <f t="shared" si="4"/>
        <v>1.5</v>
      </c>
      <c r="G56" s="41"/>
    </row>
    <row r="57" spans="1:7" ht="16.5" customHeight="1">
      <c r="B57" s="36" t="s">
        <v>175</v>
      </c>
      <c r="C57" s="50">
        <v>0.03</v>
      </c>
      <c r="D57" s="51">
        <v>0.02</v>
      </c>
      <c r="E57" s="52">
        <v>0.04</v>
      </c>
      <c r="F57" s="53">
        <f t="shared" si="4"/>
        <v>0.03</v>
      </c>
      <c r="G57" s="41" t="s">
        <v>176</v>
      </c>
    </row>
    <row r="58" spans="1:7" ht="16.5" customHeight="1">
      <c r="B58" s="36" t="s">
        <v>177</v>
      </c>
      <c r="C58" s="50">
        <v>0.8</v>
      </c>
      <c r="D58" s="51">
        <v>0.8</v>
      </c>
      <c r="E58" s="52">
        <v>0.8</v>
      </c>
      <c r="F58" s="53">
        <f t="shared" si="4"/>
        <v>0.8</v>
      </c>
      <c r="G58" s="41"/>
    </row>
    <row r="61" spans="1:7" ht="21.75" customHeight="1">
      <c r="A61" s="153" t="s">
        <v>178</v>
      </c>
      <c r="B61" s="153"/>
      <c r="C61" s="153"/>
      <c r="D61" s="153"/>
      <c r="E61" s="153"/>
      <c r="F61" s="153"/>
      <c r="G61" s="153"/>
    </row>
    <row r="62" spans="1:7" ht="15.75" customHeight="1">
      <c r="C62" s="154" t="s">
        <v>179</v>
      </c>
      <c r="D62" s="154"/>
      <c r="E62" s="154"/>
      <c r="F62" s="154"/>
    </row>
    <row r="63" spans="1:7" ht="15.75" customHeight="1">
      <c r="C63" s="155" t="s">
        <v>180</v>
      </c>
      <c r="D63" s="155"/>
      <c r="E63" s="155"/>
      <c r="F63" s="155"/>
    </row>
    <row r="64" spans="1:7" ht="15.75" customHeight="1">
      <c r="C64" s="156" t="s">
        <v>181</v>
      </c>
      <c r="D64" s="156"/>
      <c r="E64" s="156"/>
      <c r="F64" s="156"/>
    </row>
    <row r="65" spans="3:6" ht="15.75" customHeight="1">
      <c r="C65" s="157" t="s">
        <v>182</v>
      </c>
      <c r="D65" s="157"/>
      <c r="E65" s="157"/>
      <c r="F65" s="157"/>
    </row>
    <row r="66" spans="3:6" ht="15.75" customHeight="1">
      <c r="C66" s="158" t="s">
        <v>183</v>
      </c>
      <c r="D66" s="158"/>
      <c r="E66" s="158"/>
      <c r="F66" s="158"/>
    </row>
  </sheetData>
  <mergeCells count="13">
    <mergeCell ref="C64:F64"/>
    <mergeCell ref="C65:F65"/>
    <mergeCell ref="C66:F66"/>
    <mergeCell ref="A38:G38"/>
    <mergeCell ref="A52:G52"/>
    <mergeCell ref="A61:G61"/>
    <mergeCell ref="C62:F62"/>
    <mergeCell ref="C63:F63"/>
    <mergeCell ref="A1:G1"/>
    <mergeCell ref="A3:G3"/>
    <mergeCell ref="A6:G6"/>
    <mergeCell ref="A15:G15"/>
    <mergeCell ref="A27:G27"/>
  </mergeCells>
  <dataValidations count="1">
    <dataValidation type="list" sqref="C4" xr:uid="{00000000-0002-0000-0200-000000000000}">
      <formula1>"Base Case,Bull Case,Bear Case"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C3553"/>
  </sheetPr>
  <dimension ref="A1:G3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1" sqref="G11"/>
    </sheetView>
  </sheetViews>
  <sheetFormatPr defaultColWidth="8.7109375" defaultRowHeight="15"/>
  <cols>
    <col min="1" max="1" width="3" customWidth="1"/>
    <col min="2" max="2" width="38" customWidth="1"/>
    <col min="3" max="6" width="18" customWidth="1"/>
    <col min="7" max="7" width="20" customWidth="1"/>
  </cols>
  <sheetData>
    <row r="1" spans="1:6" ht="27.75" customHeight="1">
      <c r="A1" s="150" t="s">
        <v>184</v>
      </c>
      <c r="B1" s="150"/>
      <c r="C1" s="150"/>
      <c r="D1" s="150"/>
      <c r="E1" s="150"/>
      <c r="F1" s="150"/>
    </row>
    <row r="2" spans="1:6" ht="30" customHeight="1">
      <c r="B2" s="61" t="s">
        <v>185</v>
      </c>
      <c r="C2" s="61" t="s">
        <v>186</v>
      </c>
      <c r="D2" s="61" t="s">
        <v>187</v>
      </c>
      <c r="E2" s="61" t="s">
        <v>188</v>
      </c>
      <c r="F2" s="61" t="s">
        <v>189</v>
      </c>
    </row>
    <row r="3" spans="1:6" ht="21.75" customHeight="1">
      <c r="B3" s="159" t="s">
        <v>190</v>
      </c>
      <c r="C3" s="159"/>
      <c r="D3" s="159"/>
      <c r="E3" s="159"/>
      <c r="F3" s="159"/>
    </row>
    <row r="4" spans="1:6" ht="16.5" customHeight="1">
      <c r="B4" s="62" t="s">
        <v>191</v>
      </c>
      <c r="C4" s="63">
        <v>350000</v>
      </c>
      <c r="D4" s="64">
        <v>0</v>
      </c>
      <c r="E4" s="65">
        <f>IF(ASSUMPTIONS!$C$4="Bull Case",D4,IF(ASSUMPTIONS!$C$4="Bear Case",C4,D4))</f>
        <v>0</v>
      </c>
    </row>
    <row r="5" spans="1:6" ht="16.5" customHeight="1">
      <c r="B5" s="62" t="s">
        <v>192</v>
      </c>
      <c r="C5" s="63">
        <v>350000</v>
      </c>
      <c r="D5" s="64">
        <v>0</v>
      </c>
      <c r="E5" s="65">
        <f>IF(ASSUMPTIONS!$C$4="Bull Case",D5,IF(ASSUMPTIONS!$C$4="Bear Case",C5,D5))</f>
        <v>0</v>
      </c>
    </row>
    <row r="6" spans="1:6" ht="16.5" customHeight="1">
      <c r="B6" s="62" t="s">
        <v>193</v>
      </c>
      <c r="C6" s="63">
        <v>100000</v>
      </c>
      <c r="D6" s="64">
        <v>0</v>
      </c>
      <c r="E6" s="65">
        <f>IF(ASSUMPTIONS!$C$4="Bull Case",D6,IF(ASSUMPTIONS!$C$4="Bear Case",C6,D6))</f>
        <v>0</v>
      </c>
    </row>
    <row r="7" spans="1:6" ht="16.5" customHeight="1">
      <c r="B7" s="62" t="s">
        <v>194</v>
      </c>
      <c r="C7" s="63">
        <v>80000</v>
      </c>
      <c r="D7" s="64">
        <v>0</v>
      </c>
      <c r="E7" s="65">
        <f>IF(ASSUMPTIONS!$C$4="Bull Case",D7,IF(ASSUMPTIONS!$C$4="Bear Case",C7,D7))</f>
        <v>0</v>
      </c>
    </row>
    <row r="8" spans="1:6" ht="16.5" customHeight="1">
      <c r="B8" s="62" t="s">
        <v>195</v>
      </c>
      <c r="C8" s="63">
        <v>120000</v>
      </c>
      <c r="D8" s="63">
        <v>80000</v>
      </c>
      <c r="E8" s="65">
        <f>IF(ASSUMPTIONS!$C$4="Bull Case",D8,IF(ASSUMPTIONS!$C$4="Bear Case",C8,D8))</f>
        <v>80000</v>
      </c>
    </row>
    <row r="9" spans="1:6" ht="16.5" customHeight="1">
      <c r="B9" s="62" t="s">
        <v>196</v>
      </c>
      <c r="C9" s="63">
        <v>200000</v>
      </c>
      <c r="D9" s="63">
        <v>150000</v>
      </c>
      <c r="E9" s="65">
        <f>IF(ASSUMPTIONS!$C$4="Bull Case",D9,IF(ASSUMPTIONS!$C$4="Bear Case",C9,D9))</f>
        <v>150000</v>
      </c>
    </row>
    <row r="10" spans="1:6" ht="16.5" customHeight="1">
      <c r="B10" s="62" t="s">
        <v>197</v>
      </c>
      <c r="C10" s="63">
        <v>100000</v>
      </c>
      <c r="D10" s="63">
        <v>80000</v>
      </c>
      <c r="E10" s="65">
        <f>IF(ASSUMPTIONS!$C$4="Bull Case",D10,IF(ASSUMPTIONS!$C$4="Bear Case",C10,D10))</f>
        <v>80000</v>
      </c>
    </row>
    <row r="11" spans="1:6" ht="16.5" customHeight="1">
      <c r="B11" s="62" t="s">
        <v>198</v>
      </c>
      <c r="C11" s="63">
        <v>60000</v>
      </c>
      <c r="D11" s="63">
        <v>50000</v>
      </c>
      <c r="E11" s="65">
        <f>IF(ASSUMPTIONS!$C$4="Bull Case",D11,IF(ASSUMPTIONS!$C$4="Bear Case",C11,D11))</f>
        <v>50000</v>
      </c>
    </row>
    <row r="12" spans="1:6" ht="16.5" customHeight="1">
      <c r="B12" s="62" t="s">
        <v>199</v>
      </c>
      <c r="C12" s="63">
        <v>80000</v>
      </c>
      <c r="D12" s="63">
        <v>60000</v>
      </c>
      <c r="E12" s="65">
        <f>IF(ASSUMPTIONS!$C$4="Bull Case",D12,IF(ASSUMPTIONS!$C$4="Bear Case",C12,D12))</f>
        <v>60000</v>
      </c>
    </row>
    <row r="13" spans="1:6" ht="16.5" customHeight="1">
      <c r="B13" s="62" t="s">
        <v>200</v>
      </c>
      <c r="C13" s="63">
        <v>20000</v>
      </c>
      <c r="D13" s="63">
        <v>15000</v>
      </c>
      <c r="E13" s="65">
        <f>IF(ASSUMPTIONS!$C$4="Bull Case",D13,IF(ASSUMPTIONS!$C$4="Bear Case",C13,D13))</f>
        <v>15000</v>
      </c>
    </row>
    <row r="14" spans="1:6" ht="16.5" customHeight="1">
      <c r="B14" s="62" t="s">
        <v>201</v>
      </c>
      <c r="C14" s="63">
        <v>73000</v>
      </c>
      <c r="D14" s="63">
        <v>48000</v>
      </c>
      <c r="E14" s="66">
        <f>IF(ASSUMPTIONS!$C$4="Bull Case",D14,IF(ASSUMPTIONS!$C$4="Bear Case",C14,D14))</f>
        <v>48000</v>
      </c>
    </row>
    <row r="15" spans="1:6" ht="16.5" customHeight="1">
      <c r="B15" s="62" t="s">
        <v>202</v>
      </c>
      <c r="C15" s="63">
        <v>200000</v>
      </c>
      <c r="D15" s="63">
        <v>100000</v>
      </c>
      <c r="E15" s="65">
        <f>IF(ASSUMPTIONS!$C$4="Bull Case",D15,IF(ASSUMPTIONS!$C$4="Bear Case",C15,D15))</f>
        <v>100000</v>
      </c>
    </row>
    <row r="16" spans="1:6" ht="16.5" customHeight="1">
      <c r="B16" s="62" t="s">
        <v>203</v>
      </c>
      <c r="C16" s="63">
        <v>80000</v>
      </c>
      <c r="D16" s="63">
        <v>80000</v>
      </c>
      <c r="E16" s="65">
        <f>IF(ASSUMPTIONS!$C$4="Bull Case",D16,IF(ASSUMPTIONS!$C$4="Bear Case",C16,D16))</f>
        <v>80000</v>
      </c>
    </row>
    <row r="17" spans="1:7" ht="16.5" customHeight="1">
      <c r="B17" s="62" t="s">
        <v>204</v>
      </c>
      <c r="C17" s="64">
        <v>0</v>
      </c>
      <c r="D17" s="63">
        <v>120000</v>
      </c>
      <c r="E17" s="65">
        <f>IF(ASSUMPTIONS!$C$4="Bull Case",D17,IF(ASSUMPTIONS!$C$4="Bear Case",C17,D17))</f>
        <v>120000</v>
      </c>
    </row>
    <row r="18" spans="1:7" ht="16.5" customHeight="1">
      <c r="B18" s="62" t="s">
        <v>205</v>
      </c>
      <c r="C18" s="63">
        <v>15000</v>
      </c>
      <c r="D18" s="63">
        <v>15000</v>
      </c>
      <c r="E18" s="65">
        <f>IF(ASSUMPTIONS!$C$4="Bull Case",D18,IF(ASSUMPTIONS!$C$4="Bear Case",C18,D18))</f>
        <v>15000</v>
      </c>
    </row>
    <row r="19" spans="1:7" ht="16.5" customHeight="1">
      <c r="B19" s="62" t="s">
        <v>206</v>
      </c>
      <c r="C19" s="63">
        <v>15000</v>
      </c>
      <c r="D19" s="63">
        <v>10000</v>
      </c>
      <c r="E19" s="65">
        <f>IF(ASSUMPTIONS!$C$4="Bull Case",D19,IF(ASSUMPTIONS!$C$4="Bear Case",C19,D19))</f>
        <v>10000</v>
      </c>
    </row>
    <row r="20" spans="1:7" ht="16.5" customHeight="1">
      <c r="B20" s="62" t="s">
        <v>207</v>
      </c>
      <c r="C20" s="63">
        <v>30000</v>
      </c>
      <c r="D20" s="63">
        <v>30000</v>
      </c>
      <c r="E20" s="65">
        <f>IF(ASSUMPTIONS!$C$4="Bull Case",D20,IF(ASSUMPTIONS!$C$4="Bear Case",C20,D20))</f>
        <v>30000</v>
      </c>
    </row>
    <row r="21" spans="1:7" ht="16.5" customHeight="1">
      <c r="B21" s="62" t="s">
        <v>208</v>
      </c>
      <c r="C21" s="63">
        <v>40000</v>
      </c>
      <c r="D21" s="63">
        <v>25000</v>
      </c>
      <c r="E21" s="65">
        <f>IF(ASSUMPTIONS!$C$4="Bull Case",D21,IF(ASSUMPTIONS!$C$4="Bear Case",C21,D21))</f>
        <v>25000</v>
      </c>
    </row>
    <row r="22" spans="1:7" ht="19.5" customHeight="1">
      <c r="B22" s="67" t="s">
        <v>209</v>
      </c>
      <c r="C22" s="68">
        <v>1913000</v>
      </c>
      <c r="D22" s="68">
        <v>863000</v>
      </c>
      <c r="E22" s="69">
        <f>SUM(E4:E21)</f>
        <v>863000</v>
      </c>
    </row>
    <row r="24" spans="1:7" ht="21.75" customHeight="1">
      <c r="A24" s="152" t="s">
        <v>210</v>
      </c>
      <c r="B24" s="152"/>
      <c r="C24" s="152"/>
      <c r="D24" s="152"/>
      <c r="E24" s="152"/>
      <c r="F24" s="152"/>
    </row>
    <row r="25" spans="1:7" ht="15" customHeight="1">
      <c r="B25" s="70" t="s">
        <v>211</v>
      </c>
      <c r="C25" s="70" t="s">
        <v>212</v>
      </c>
      <c r="D25" s="70" t="s">
        <v>213</v>
      </c>
      <c r="E25" s="70" t="s">
        <v>214</v>
      </c>
      <c r="F25" s="70" t="s">
        <v>215</v>
      </c>
      <c r="G25" s="70" t="s">
        <v>216</v>
      </c>
    </row>
    <row r="26" spans="1:7" ht="15.75" customHeight="1">
      <c r="B26" s="62" t="s">
        <v>217</v>
      </c>
      <c r="C26" s="63">
        <v>450000</v>
      </c>
      <c r="D26" s="63">
        <v>0</v>
      </c>
      <c r="E26" s="71">
        <v>20</v>
      </c>
      <c r="F26" s="72">
        <f>IF(ASSUMPTIONS!$C$4="Base Case",D26,C26)/E26</f>
        <v>0</v>
      </c>
      <c r="G26" s="72">
        <f t="shared" ref="G26:G32" si="0">F26/12</f>
        <v>0</v>
      </c>
    </row>
    <row r="27" spans="1:7" ht="15.75" customHeight="1">
      <c r="B27" s="62" t="s">
        <v>218</v>
      </c>
      <c r="C27" s="63">
        <v>100000</v>
      </c>
      <c r="D27" s="63">
        <v>0</v>
      </c>
      <c r="E27" s="71">
        <v>20</v>
      </c>
      <c r="F27" s="72">
        <f>IF(ASSUMPTIONS!$C$4="Base Case",D27,C27)/E27</f>
        <v>0</v>
      </c>
      <c r="G27" s="72">
        <f t="shared" si="0"/>
        <v>0</v>
      </c>
    </row>
    <row r="28" spans="1:7" ht="15.75" customHeight="1">
      <c r="B28" s="62" t="s">
        <v>219</v>
      </c>
      <c r="C28" s="63">
        <v>200000</v>
      </c>
      <c r="D28" s="63">
        <v>150000</v>
      </c>
      <c r="E28" s="71">
        <v>10</v>
      </c>
      <c r="F28" s="72">
        <f>IF(ASSUMPTIONS!$C$4="Base Case",D28,C28)/E28</f>
        <v>15000</v>
      </c>
      <c r="G28" s="72">
        <f t="shared" si="0"/>
        <v>1250</v>
      </c>
    </row>
    <row r="29" spans="1:7" ht="15.75" customHeight="1">
      <c r="B29" s="62" t="s">
        <v>197</v>
      </c>
      <c r="C29" s="63">
        <v>100000</v>
      </c>
      <c r="D29" s="63">
        <v>80000</v>
      </c>
      <c r="E29" s="71">
        <v>7</v>
      </c>
      <c r="F29" s="72">
        <f>IF(ASSUMPTIONS!$C$4="Base Case",D29,C29)/E29</f>
        <v>11428.571428571429</v>
      </c>
      <c r="G29" s="72">
        <f t="shared" si="0"/>
        <v>952.38095238095241</v>
      </c>
    </row>
    <row r="30" spans="1:7" ht="15.75" customHeight="1">
      <c r="B30" s="62" t="s">
        <v>220</v>
      </c>
      <c r="C30" s="63">
        <v>120000</v>
      </c>
      <c r="D30" s="63">
        <v>80000</v>
      </c>
      <c r="E30" s="71">
        <v>5</v>
      </c>
      <c r="F30" s="72">
        <f>IF(ASSUMPTIONS!$C$4="Base Case",D30,C30)/E30</f>
        <v>16000</v>
      </c>
      <c r="G30" s="72">
        <f t="shared" si="0"/>
        <v>1333.3333333333333</v>
      </c>
    </row>
    <row r="31" spans="1:7" ht="15.75" customHeight="1">
      <c r="B31" s="62" t="s">
        <v>221</v>
      </c>
      <c r="C31" s="63">
        <v>60000</v>
      </c>
      <c r="D31" s="63">
        <v>50000</v>
      </c>
      <c r="E31" s="71">
        <v>5</v>
      </c>
      <c r="F31" s="72">
        <f>IF(ASSUMPTIONS!$C$4="Base Case",D31,C31)/E31</f>
        <v>10000</v>
      </c>
      <c r="G31" s="72">
        <f t="shared" si="0"/>
        <v>833.33333333333337</v>
      </c>
    </row>
    <row r="32" spans="1:7" ht="15.75" customHeight="1">
      <c r="B32" s="62" t="s">
        <v>222</v>
      </c>
      <c r="C32" s="63">
        <v>20000</v>
      </c>
      <c r="D32" s="63">
        <v>15000</v>
      </c>
      <c r="E32" s="71">
        <v>3</v>
      </c>
      <c r="F32" s="72">
        <f>IF(ASSUMPTIONS!$C$4="Base Case",D32,C32)/E32</f>
        <v>5000</v>
      </c>
      <c r="G32" s="72">
        <f t="shared" si="0"/>
        <v>416.66666666666669</v>
      </c>
    </row>
    <row r="33" spans="2:7" ht="15" customHeight="1">
      <c r="B33" s="160" t="s">
        <v>223</v>
      </c>
      <c r="C33" s="160"/>
      <c r="D33" s="160"/>
      <c r="E33" s="160"/>
      <c r="F33" s="74">
        <f>SUM(F26:F32)</f>
        <v>57428.571428571428</v>
      </c>
      <c r="G33" s="74">
        <f>SUM(G26:G32)</f>
        <v>4785.7142857142853</v>
      </c>
    </row>
  </sheetData>
  <mergeCells count="4">
    <mergeCell ref="A1:F1"/>
    <mergeCell ref="B3:F3"/>
    <mergeCell ref="A24:F24"/>
    <mergeCell ref="B33:E3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D77"/>
  </sheetPr>
  <dimension ref="A1:AN17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N1"/>
    </sheetView>
  </sheetViews>
  <sheetFormatPr defaultColWidth="8.7109375" defaultRowHeight="15"/>
  <cols>
    <col min="1" max="1" width="3" customWidth="1"/>
    <col min="2" max="2" width="30" customWidth="1"/>
    <col min="3" max="40" width="10" customWidth="1"/>
  </cols>
  <sheetData>
    <row r="1" spans="1:40" ht="27.75" customHeight="1">
      <c r="A1" s="150" t="s">
        <v>224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</row>
    <row r="2" spans="1:40" ht="30" customHeight="1">
      <c r="B2" s="75" t="s">
        <v>225</v>
      </c>
      <c r="C2" s="76" t="s">
        <v>226</v>
      </c>
      <c r="D2" s="76" t="s">
        <v>227</v>
      </c>
      <c r="E2" s="76" t="s">
        <v>228</v>
      </c>
      <c r="F2" s="76" t="s">
        <v>229</v>
      </c>
      <c r="G2" s="76" t="s">
        <v>230</v>
      </c>
      <c r="H2" s="76" t="s">
        <v>231</v>
      </c>
      <c r="I2" s="76" t="s">
        <v>232</v>
      </c>
      <c r="J2" s="76" t="s">
        <v>233</v>
      </c>
      <c r="K2" s="76" t="s">
        <v>234</v>
      </c>
      <c r="L2" s="76" t="s">
        <v>235</v>
      </c>
      <c r="M2" s="76" t="s">
        <v>236</v>
      </c>
      <c r="N2" s="76" t="s">
        <v>237</v>
      </c>
      <c r="O2" s="76" t="s">
        <v>238</v>
      </c>
      <c r="P2" s="76" t="s">
        <v>239</v>
      </c>
      <c r="Q2" s="76" t="s">
        <v>240</v>
      </c>
      <c r="R2" s="76" t="s">
        <v>241</v>
      </c>
      <c r="S2" s="76" t="s">
        <v>242</v>
      </c>
      <c r="T2" s="76" t="s">
        <v>243</v>
      </c>
      <c r="U2" s="76" t="s">
        <v>244</v>
      </c>
      <c r="V2" s="76" t="s">
        <v>245</v>
      </c>
      <c r="W2" s="76" t="s">
        <v>246</v>
      </c>
      <c r="X2" s="76" t="s">
        <v>247</v>
      </c>
      <c r="Y2" s="76" t="s">
        <v>248</v>
      </c>
      <c r="Z2" s="76" t="s">
        <v>249</v>
      </c>
      <c r="AA2" s="76" t="s">
        <v>250</v>
      </c>
      <c r="AB2" s="76" t="s">
        <v>251</v>
      </c>
      <c r="AC2" s="76" t="s">
        <v>252</v>
      </c>
      <c r="AD2" s="76" t="s">
        <v>253</v>
      </c>
      <c r="AE2" s="76" t="s">
        <v>254</v>
      </c>
      <c r="AF2" s="76" t="s">
        <v>255</v>
      </c>
      <c r="AG2" s="76" t="s">
        <v>256</v>
      </c>
      <c r="AH2" s="76" t="s">
        <v>257</v>
      </c>
      <c r="AI2" s="76" t="s">
        <v>258</v>
      </c>
      <c r="AJ2" s="76" t="s">
        <v>259</v>
      </c>
      <c r="AK2" s="76" t="s">
        <v>260</v>
      </c>
      <c r="AL2" s="76" t="s">
        <v>261</v>
      </c>
      <c r="AM2" s="76" t="s">
        <v>262</v>
      </c>
      <c r="AN2" s="76" t="s">
        <v>263</v>
      </c>
    </row>
    <row r="3" spans="1:40" ht="18" customHeight="1">
      <c r="B3" s="77" t="s">
        <v>264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40" ht="18" customHeight="1">
      <c r="B4" s="36" t="s">
        <v>265</v>
      </c>
      <c r="C4" s="79">
        <v>4</v>
      </c>
      <c r="D4" s="79">
        <v>4</v>
      </c>
      <c r="E4" s="79">
        <v>4</v>
      </c>
      <c r="F4" s="79">
        <v>4</v>
      </c>
      <c r="G4" s="79">
        <v>4</v>
      </c>
      <c r="H4" s="79">
        <v>4</v>
      </c>
      <c r="I4" s="79">
        <v>4</v>
      </c>
      <c r="J4" s="79">
        <v>4</v>
      </c>
      <c r="K4" s="79">
        <v>4</v>
      </c>
      <c r="L4" s="79">
        <v>4</v>
      </c>
      <c r="M4" s="79">
        <v>4</v>
      </c>
      <c r="N4" s="79">
        <v>4</v>
      </c>
      <c r="O4" s="79">
        <v>5</v>
      </c>
      <c r="P4" s="79">
        <v>5</v>
      </c>
      <c r="Q4" s="79">
        <v>5</v>
      </c>
      <c r="R4" s="79">
        <v>5</v>
      </c>
      <c r="S4" s="79">
        <v>5</v>
      </c>
      <c r="T4" s="79">
        <v>5</v>
      </c>
      <c r="U4" s="79">
        <v>5</v>
      </c>
      <c r="V4" s="79">
        <v>5</v>
      </c>
      <c r="W4" s="79">
        <v>5</v>
      </c>
      <c r="X4" s="79">
        <v>5</v>
      </c>
      <c r="Y4" s="79">
        <v>5</v>
      </c>
      <c r="Z4" s="79">
        <v>5</v>
      </c>
      <c r="AA4" s="79">
        <v>6</v>
      </c>
      <c r="AB4" s="79">
        <v>6</v>
      </c>
      <c r="AC4" s="79">
        <v>6</v>
      </c>
      <c r="AD4" s="79">
        <v>6</v>
      </c>
      <c r="AE4" s="79">
        <v>6</v>
      </c>
      <c r="AF4" s="79">
        <v>6</v>
      </c>
      <c r="AG4" s="79">
        <v>6</v>
      </c>
      <c r="AH4" s="79">
        <v>6</v>
      </c>
      <c r="AI4" s="79">
        <v>6</v>
      </c>
      <c r="AJ4" s="79">
        <v>6</v>
      </c>
      <c r="AK4" s="79">
        <v>6</v>
      </c>
      <c r="AL4" s="79">
        <v>6</v>
      </c>
      <c r="AM4" s="79">
        <v>123</v>
      </c>
      <c r="AN4" s="79">
        <v>156</v>
      </c>
    </row>
    <row r="5" spans="1:40" ht="18" customHeight="1">
      <c r="B5" s="36" t="s">
        <v>266</v>
      </c>
      <c r="C5" s="80">
        <v>50000</v>
      </c>
      <c r="D5" s="80">
        <v>50000</v>
      </c>
      <c r="E5" s="80">
        <v>50000</v>
      </c>
      <c r="F5" s="80">
        <v>50000</v>
      </c>
      <c r="G5" s="80">
        <v>50000</v>
      </c>
      <c r="H5" s="80">
        <v>50000</v>
      </c>
      <c r="I5" s="80">
        <v>50000</v>
      </c>
      <c r="J5" s="80">
        <v>50000</v>
      </c>
      <c r="K5" s="80">
        <v>50000</v>
      </c>
      <c r="L5" s="80">
        <v>50000</v>
      </c>
      <c r="M5" s="80">
        <v>50000</v>
      </c>
      <c r="N5" s="80">
        <v>50000</v>
      </c>
      <c r="O5" s="80">
        <v>52500</v>
      </c>
      <c r="P5" s="80">
        <v>52500</v>
      </c>
      <c r="Q5" s="80">
        <v>52500</v>
      </c>
      <c r="R5" s="80">
        <v>52500</v>
      </c>
      <c r="S5" s="80">
        <v>52500</v>
      </c>
      <c r="T5" s="80">
        <v>52500</v>
      </c>
      <c r="U5" s="80">
        <v>52500</v>
      </c>
      <c r="V5" s="80">
        <v>52500</v>
      </c>
      <c r="W5" s="80">
        <v>52500</v>
      </c>
      <c r="X5" s="80">
        <v>52500</v>
      </c>
      <c r="Y5" s="80">
        <v>52500</v>
      </c>
      <c r="Z5" s="80">
        <v>52500</v>
      </c>
      <c r="AA5" s="80">
        <v>55125</v>
      </c>
      <c r="AB5" s="80">
        <v>55125</v>
      </c>
      <c r="AC5" s="80">
        <v>55125</v>
      </c>
      <c r="AD5" s="80">
        <v>55125</v>
      </c>
      <c r="AE5" s="80">
        <v>55125</v>
      </c>
      <c r="AF5" s="80">
        <v>55125</v>
      </c>
      <c r="AG5" s="80">
        <v>55125</v>
      </c>
      <c r="AH5" s="80">
        <v>55125</v>
      </c>
      <c r="AI5" s="80">
        <v>55125</v>
      </c>
      <c r="AJ5" s="80">
        <v>55125</v>
      </c>
      <c r="AK5" s="80">
        <v>55125</v>
      </c>
      <c r="AL5" s="80">
        <v>55125</v>
      </c>
      <c r="AM5" s="80">
        <v>57881</v>
      </c>
      <c r="AN5" s="80">
        <v>60775</v>
      </c>
    </row>
    <row r="6" spans="1:40" ht="18" customHeight="1">
      <c r="B6" s="36" t="s">
        <v>267</v>
      </c>
      <c r="C6" s="81">
        <f t="shared" ref="C6:AN6" si="0">C4*C5</f>
        <v>200000</v>
      </c>
      <c r="D6" s="81">
        <f t="shared" si="0"/>
        <v>200000</v>
      </c>
      <c r="E6" s="81">
        <f t="shared" si="0"/>
        <v>200000</v>
      </c>
      <c r="F6" s="81">
        <f t="shared" si="0"/>
        <v>200000</v>
      </c>
      <c r="G6" s="81">
        <f t="shared" si="0"/>
        <v>200000</v>
      </c>
      <c r="H6" s="81">
        <f t="shared" si="0"/>
        <v>200000</v>
      </c>
      <c r="I6" s="81">
        <f t="shared" si="0"/>
        <v>200000</v>
      </c>
      <c r="J6" s="81">
        <f t="shared" si="0"/>
        <v>200000</v>
      </c>
      <c r="K6" s="81">
        <f t="shared" si="0"/>
        <v>200000</v>
      </c>
      <c r="L6" s="81">
        <f t="shared" si="0"/>
        <v>200000</v>
      </c>
      <c r="M6" s="81">
        <f t="shared" si="0"/>
        <v>200000</v>
      </c>
      <c r="N6" s="81">
        <f t="shared" si="0"/>
        <v>200000</v>
      </c>
      <c r="O6" s="81">
        <f t="shared" si="0"/>
        <v>262500</v>
      </c>
      <c r="P6" s="81">
        <f t="shared" si="0"/>
        <v>262500</v>
      </c>
      <c r="Q6" s="81">
        <f t="shared" si="0"/>
        <v>262500</v>
      </c>
      <c r="R6" s="81">
        <f t="shared" si="0"/>
        <v>262500</v>
      </c>
      <c r="S6" s="81">
        <f t="shared" si="0"/>
        <v>262500</v>
      </c>
      <c r="T6" s="81">
        <f t="shared" si="0"/>
        <v>262500</v>
      </c>
      <c r="U6" s="81">
        <f t="shared" si="0"/>
        <v>262500</v>
      </c>
      <c r="V6" s="81">
        <f t="shared" si="0"/>
        <v>262500</v>
      </c>
      <c r="W6" s="81">
        <f t="shared" si="0"/>
        <v>262500</v>
      </c>
      <c r="X6" s="81">
        <f t="shared" si="0"/>
        <v>262500</v>
      </c>
      <c r="Y6" s="81">
        <f t="shared" si="0"/>
        <v>262500</v>
      </c>
      <c r="Z6" s="81">
        <f t="shared" si="0"/>
        <v>262500</v>
      </c>
      <c r="AA6" s="81">
        <f t="shared" si="0"/>
        <v>330750</v>
      </c>
      <c r="AB6" s="81">
        <f t="shared" si="0"/>
        <v>330750</v>
      </c>
      <c r="AC6" s="81">
        <f t="shared" si="0"/>
        <v>330750</v>
      </c>
      <c r="AD6" s="81">
        <f t="shared" si="0"/>
        <v>330750</v>
      </c>
      <c r="AE6" s="81">
        <f t="shared" si="0"/>
        <v>330750</v>
      </c>
      <c r="AF6" s="81">
        <f t="shared" si="0"/>
        <v>330750</v>
      </c>
      <c r="AG6" s="81">
        <f t="shared" si="0"/>
        <v>330750</v>
      </c>
      <c r="AH6" s="81">
        <f t="shared" si="0"/>
        <v>330750</v>
      </c>
      <c r="AI6" s="81">
        <f t="shared" si="0"/>
        <v>330750</v>
      </c>
      <c r="AJ6" s="81">
        <f t="shared" si="0"/>
        <v>330750</v>
      </c>
      <c r="AK6" s="81">
        <f t="shared" si="0"/>
        <v>330750</v>
      </c>
      <c r="AL6" s="81">
        <f t="shared" si="0"/>
        <v>330750</v>
      </c>
      <c r="AM6" s="81">
        <f t="shared" si="0"/>
        <v>7119363</v>
      </c>
      <c r="AN6" s="81">
        <f t="shared" si="0"/>
        <v>9480900</v>
      </c>
    </row>
    <row r="7" spans="1:40" ht="18" customHeight="1">
      <c r="B7" s="77" t="s">
        <v>268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</row>
    <row r="8" spans="1:40" ht="18" customHeight="1">
      <c r="B8" s="36" t="s">
        <v>269</v>
      </c>
      <c r="C8" s="79">
        <v>3</v>
      </c>
      <c r="D8" s="79">
        <v>3</v>
      </c>
      <c r="E8" s="79">
        <v>3</v>
      </c>
      <c r="F8" s="79">
        <v>3</v>
      </c>
      <c r="G8" s="79">
        <v>3</v>
      </c>
      <c r="H8" s="79">
        <v>3</v>
      </c>
      <c r="I8" s="79">
        <v>3</v>
      </c>
      <c r="J8" s="79">
        <v>3</v>
      </c>
      <c r="K8" s="79">
        <v>3</v>
      </c>
      <c r="L8" s="79">
        <v>3</v>
      </c>
      <c r="M8" s="79">
        <v>3</v>
      </c>
      <c r="N8" s="79">
        <v>3</v>
      </c>
      <c r="O8" s="79">
        <v>4</v>
      </c>
      <c r="P8" s="79">
        <v>4</v>
      </c>
      <c r="Q8" s="79">
        <v>4</v>
      </c>
      <c r="R8" s="79">
        <v>4</v>
      </c>
      <c r="S8" s="79">
        <v>4</v>
      </c>
      <c r="T8" s="79">
        <v>4</v>
      </c>
      <c r="U8" s="79">
        <v>4</v>
      </c>
      <c r="V8" s="79">
        <v>4</v>
      </c>
      <c r="W8" s="79">
        <v>4</v>
      </c>
      <c r="X8" s="79">
        <v>4</v>
      </c>
      <c r="Y8" s="79">
        <v>4</v>
      </c>
      <c r="Z8" s="79">
        <v>4</v>
      </c>
      <c r="AA8" s="79">
        <v>4</v>
      </c>
      <c r="AB8" s="79">
        <v>4</v>
      </c>
      <c r="AC8" s="79">
        <v>4</v>
      </c>
      <c r="AD8" s="79">
        <v>4</v>
      </c>
      <c r="AE8" s="79">
        <v>4</v>
      </c>
      <c r="AF8" s="79">
        <v>4</v>
      </c>
      <c r="AG8" s="79">
        <v>4</v>
      </c>
      <c r="AH8" s="79">
        <v>4</v>
      </c>
      <c r="AI8" s="79">
        <v>4</v>
      </c>
      <c r="AJ8" s="79">
        <v>4</v>
      </c>
      <c r="AK8" s="79">
        <v>4</v>
      </c>
      <c r="AL8" s="79">
        <v>4</v>
      </c>
      <c r="AM8" s="79">
        <v>110</v>
      </c>
      <c r="AN8" s="79">
        <v>144</v>
      </c>
    </row>
    <row r="9" spans="1:40" ht="18" customHeight="1">
      <c r="B9" s="36" t="s">
        <v>270</v>
      </c>
      <c r="C9" s="80">
        <v>60000</v>
      </c>
      <c r="D9" s="80">
        <v>60000</v>
      </c>
      <c r="E9" s="80">
        <v>60000</v>
      </c>
      <c r="F9" s="80">
        <v>60000</v>
      </c>
      <c r="G9" s="80">
        <v>60000</v>
      </c>
      <c r="H9" s="80">
        <v>60000</v>
      </c>
      <c r="I9" s="80">
        <v>60000</v>
      </c>
      <c r="J9" s="80">
        <v>60000</v>
      </c>
      <c r="K9" s="80">
        <v>60000</v>
      </c>
      <c r="L9" s="80">
        <v>60000</v>
      </c>
      <c r="M9" s="80">
        <v>60000</v>
      </c>
      <c r="N9" s="80">
        <v>60000</v>
      </c>
      <c r="O9" s="80">
        <v>63000</v>
      </c>
      <c r="P9" s="80">
        <v>63000</v>
      </c>
      <c r="Q9" s="80">
        <v>63000</v>
      </c>
      <c r="R9" s="80">
        <v>63000</v>
      </c>
      <c r="S9" s="80">
        <v>63000</v>
      </c>
      <c r="T9" s="80">
        <v>63000</v>
      </c>
      <c r="U9" s="80">
        <v>63000</v>
      </c>
      <c r="V9" s="80">
        <v>63000</v>
      </c>
      <c r="W9" s="80">
        <v>63000</v>
      </c>
      <c r="X9" s="80">
        <v>63000</v>
      </c>
      <c r="Y9" s="80">
        <v>63000</v>
      </c>
      <c r="Z9" s="80">
        <v>63000</v>
      </c>
      <c r="AA9" s="80">
        <v>66150</v>
      </c>
      <c r="AB9" s="80">
        <v>66150</v>
      </c>
      <c r="AC9" s="80">
        <v>66150</v>
      </c>
      <c r="AD9" s="80">
        <v>66150</v>
      </c>
      <c r="AE9" s="80">
        <v>66150</v>
      </c>
      <c r="AF9" s="80">
        <v>66150</v>
      </c>
      <c r="AG9" s="80">
        <v>66150</v>
      </c>
      <c r="AH9" s="80">
        <v>66150</v>
      </c>
      <c r="AI9" s="80">
        <v>66150</v>
      </c>
      <c r="AJ9" s="80">
        <v>66150</v>
      </c>
      <c r="AK9" s="80">
        <v>66150</v>
      </c>
      <c r="AL9" s="80">
        <v>66150</v>
      </c>
      <c r="AM9" s="80">
        <v>69458</v>
      </c>
      <c r="AN9" s="80">
        <v>72930</v>
      </c>
    </row>
    <row r="10" spans="1:40" ht="18" customHeight="1">
      <c r="B10" s="36" t="s">
        <v>271</v>
      </c>
      <c r="C10" s="81">
        <f t="shared" ref="C10:AN10" si="1">C8*C9</f>
        <v>180000</v>
      </c>
      <c r="D10" s="81">
        <f t="shared" si="1"/>
        <v>180000</v>
      </c>
      <c r="E10" s="81">
        <f t="shared" si="1"/>
        <v>180000</v>
      </c>
      <c r="F10" s="81">
        <f t="shared" si="1"/>
        <v>180000</v>
      </c>
      <c r="G10" s="81">
        <f t="shared" si="1"/>
        <v>180000</v>
      </c>
      <c r="H10" s="81">
        <f t="shared" si="1"/>
        <v>180000</v>
      </c>
      <c r="I10" s="81">
        <f t="shared" si="1"/>
        <v>180000</v>
      </c>
      <c r="J10" s="81">
        <f t="shared" si="1"/>
        <v>180000</v>
      </c>
      <c r="K10" s="81">
        <f t="shared" si="1"/>
        <v>180000</v>
      </c>
      <c r="L10" s="81">
        <f t="shared" si="1"/>
        <v>180000</v>
      </c>
      <c r="M10" s="81">
        <f t="shared" si="1"/>
        <v>180000</v>
      </c>
      <c r="N10" s="81">
        <f t="shared" si="1"/>
        <v>180000</v>
      </c>
      <c r="O10" s="81">
        <f t="shared" si="1"/>
        <v>252000</v>
      </c>
      <c r="P10" s="81">
        <f t="shared" si="1"/>
        <v>252000</v>
      </c>
      <c r="Q10" s="81">
        <f t="shared" si="1"/>
        <v>252000</v>
      </c>
      <c r="R10" s="81">
        <f t="shared" si="1"/>
        <v>252000</v>
      </c>
      <c r="S10" s="81">
        <f t="shared" si="1"/>
        <v>252000</v>
      </c>
      <c r="T10" s="81">
        <f t="shared" si="1"/>
        <v>252000</v>
      </c>
      <c r="U10" s="81">
        <f t="shared" si="1"/>
        <v>252000</v>
      </c>
      <c r="V10" s="81">
        <f t="shared" si="1"/>
        <v>252000</v>
      </c>
      <c r="W10" s="81">
        <f t="shared" si="1"/>
        <v>252000</v>
      </c>
      <c r="X10" s="81">
        <f t="shared" si="1"/>
        <v>252000</v>
      </c>
      <c r="Y10" s="81">
        <f t="shared" si="1"/>
        <v>252000</v>
      </c>
      <c r="Z10" s="81">
        <f t="shared" si="1"/>
        <v>252000</v>
      </c>
      <c r="AA10" s="81">
        <f t="shared" si="1"/>
        <v>264600</v>
      </c>
      <c r="AB10" s="81">
        <f t="shared" si="1"/>
        <v>264600</v>
      </c>
      <c r="AC10" s="81">
        <f t="shared" si="1"/>
        <v>264600</v>
      </c>
      <c r="AD10" s="81">
        <f t="shared" si="1"/>
        <v>264600</v>
      </c>
      <c r="AE10" s="81">
        <f t="shared" si="1"/>
        <v>264600</v>
      </c>
      <c r="AF10" s="81">
        <f t="shared" si="1"/>
        <v>264600</v>
      </c>
      <c r="AG10" s="81">
        <f t="shared" si="1"/>
        <v>264600</v>
      </c>
      <c r="AH10" s="81">
        <f t="shared" si="1"/>
        <v>264600</v>
      </c>
      <c r="AI10" s="81">
        <f t="shared" si="1"/>
        <v>264600</v>
      </c>
      <c r="AJ10" s="81">
        <f t="shared" si="1"/>
        <v>264600</v>
      </c>
      <c r="AK10" s="81">
        <f t="shared" si="1"/>
        <v>264600</v>
      </c>
      <c r="AL10" s="81">
        <f t="shared" si="1"/>
        <v>264600</v>
      </c>
      <c r="AM10" s="81">
        <f t="shared" si="1"/>
        <v>7640380</v>
      </c>
      <c r="AN10" s="81">
        <f t="shared" si="1"/>
        <v>10501920</v>
      </c>
    </row>
    <row r="11" spans="1:40" ht="18" customHeight="1">
      <c r="B11" s="36" t="s">
        <v>272</v>
      </c>
      <c r="C11" s="80">
        <v>15000</v>
      </c>
      <c r="D11" s="80">
        <v>15000</v>
      </c>
      <c r="E11" s="80">
        <v>15000</v>
      </c>
      <c r="F11" s="80">
        <v>15000</v>
      </c>
      <c r="G11" s="80">
        <v>15000</v>
      </c>
      <c r="H11" s="80">
        <v>15000</v>
      </c>
      <c r="I11" s="80">
        <v>15000</v>
      </c>
      <c r="J11" s="80">
        <v>15000</v>
      </c>
      <c r="K11" s="80">
        <v>15000</v>
      </c>
      <c r="L11" s="80">
        <v>15000</v>
      </c>
      <c r="M11" s="80">
        <v>15000</v>
      </c>
      <c r="N11" s="80">
        <v>15000</v>
      </c>
      <c r="O11" s="80">
        <v>17250</v>
      </c>
      <c r="P11" s="80">
        <v>17250</v>
      </c>
      <c r="Q11" s="80">
        <v>17250</v>
      </c>
      <c r="R11" s="80">
        <v>17250</v>
      </c>
      <c r="S11" s="80">
        <v>17250</v>
      </c>
      <c r="T11" s="80">
        <v>17250</v>
      </c>
      <c r="U11" s="80">
        <v>17250</v>
      </c>
      <c r="V11" s="80">
        <v>17250</v>
      </c>
      <c r="W11" s="80">
        <v>17250</v>
      </c>
      <c r="X11" s="80">
        <v>17250</v>
      </c>
      <c r="Y11" s="80">
        <v>17250</v>
      </c>
      <c r="Z11" s="80">
        <v>17250</v>
      </c>
      <c r="AA11" s="80">
        <v>19837</v>
      </c>
      <c r="AB11" s="80">
        <v>19837</v>
      </c>
      <c r="AC11" s="80">
        <v>19837</v>
      </c>
      <c r="AD11" s="80">
        <v>19837</v>
      </c>
      <c r="AE11" s="80">
        <v>19837</v>
      </c>
      <c r="AF11" s="80">
        <v>19837</v>
      </c>
      <c r="AG11" s="80">
        <v>19837</v>
      </c>
      <c r="AH11" s="80">
        <v>19837</v>
      </c>
      <c r="AI11" s="80">
        <v>19837</v>
      </c>
      <c r="AJ11" s="80">
        <v>19837</v>
      </c>
      <c r="AK11" s="80">
        <v>19837</v>
      </c>
      <c r="AL11" s="80">
        <v>19837</v>
      </c>
      <c r="AM11" s="80">
        <v>273757</v>
      </c>
      <c r="AN11" s="80">
        <v>314821</v>
      </c>
    </row>
    <row r="12" spans="1:40" ht="18" customHeight="1">
      <c r="B12" s="82" t="s">
        <v>273</v>
      </c>
      <c r="C12" s="83">
        <f t="shared" ref="C12:AN12" si="2">C6+C10+C11</f>
        <v>395000</v>
      </c>
      <c r="D12" s="83">
        <f t="shared" si="2"/>
        <v>395000</v>
      </c>
      <c r="E12" s="83">
        <f t="shared" si="2"/>
        <v>395000</v>
      </c>
      <c r="F12" s="83">
        <f t="shared" si="2"/>
        <v>395000</v>
      </c>
      <c r="G12" s="83">
        <f t="shared" si="2"/>
        <v>395000</v>
      </c>
      <c r="H12" s="83">
        <f t="shared" si="2"/>
        <v>395000</v>
      </c>
      <c r="I12" s="83">
        <f t="shared" si="2"/>
        <v>395000</v>
      </c>
      <c r="J12" s="83">
        <f t="shared" si="2"/>
        <v>395000</v>
      </c>
      <c r="K12" s="83">
        <f t="shared" si="2"/>
        <v>395000</v>
      </c>
      <c r="L12" s="83">
        <f t="shared" si="2"/>
        <v>395000</v>
      </c>
      <c r="M12" s="83">
        <f t="shared" si="2"/>
        <v>395000</v>
      </c>
      <c r="N12" s="83">
        <f t="shared" si="2"/>
        <v>395000</v>
      </c>
      <c r="O12" s="83">
        <f t="shared" si="2"/>
        <v>531750</v>
      </c>
      <c r="P12" s="83">
        <f t="shared" si="2"/>
        <v>531750</v>
      </c>
      <c r="Q12" s="83">
        <f t="shared" si="2"/>
        <v>531750</v>
      </c>
      <c r="R12" s="83">
        <f t="shared" si="2"/>
        <v>531750</v>
      </c>
      <c r="S12" s="83">
        <f t="shared" si="2"/>
        <v>531750</v>
      </c>
      <c r="T12" s="83">
        <f t="shared" si="2"/>
        <v>531750</v>
      </c>
      <c r="U12" s="83">
        <f t="shared" si="2"/>
        <v>531750</v>
      </c>
      <c r="V12" s="83">
        <f t="shared" si="2"/>
        <v>531750</v>
      </c>
      <c r="W12" s="83">
        <f t="shared" si="2"/>
        <v>531750</v>
      </c>
      <c r="X12" s="83">
        <f t="shared" si="2"/>
        <v>531750</v>
      </c>
      <c r="Y12" s="83">
        <f t="shared" si="2"/>
        <v>531750</v>
      </c>
      <c r="Z12" s="83">
        <f t="shared" si="2"/>
        <v>531750</v>
      </c>
      <c r="AA12" s="83">
        <f t="shared" si="2"/>
        <v>615187</v>
      </c>
      <c r="AB12" s="83">
        <f t="shared" si="2"/>
        <v>615187</v>
      </c>
      <c r="AC12" s="83">
        <f t="shared" si="2"/>
        <v>615187</v>
      </c>
      <c r="AD12" s="83">
        <f t="shared" si="2"/>
        <v>615187</v>
      </c>
      <c r="AE12" s="83">
        <f t="shared" si="2"/>
        <v>615187</v>
      </c>
      <c r="AF12" s="83">
        <f t="shared" si="2"/>
        <v>615187</v>
      </c>
      <c r="AG12" s="83">
        <f t="shared" si="2"/>
        <v>615187</v>
      </c>
      <c r="AH12" s="83">
        <f t="shared" si="2"/>
        <v>615187</v>
      </c>
      <c r="AI12" s="83">
        <f t="shared" si="2"/>
        <v>615187</v>
      </c>
      <c r="AJ12" s="83">
        <f t="shared" si="2"/>
        <v>615187</v>
      </c>
      <c r="AK12" s="83">
        <f t="shared" si="2"/>
        <v>615187</v>
      </c>
      <c r="AL12" s="83">
        <f t="shared" si="2"/>
        <v>615187</v>
      </c>
      <c r="AM12" s="83">
        <f t="shared" si="2"/>
        <v>15033500</v>
      </c>
      <c r="AN12" s="83">
        <f t="shared" si="2"/>
        <v>20297641</v>
      </c>
    </row>
    <row r="13" spans="1:40" ht="18" customHeight="1">
      <c r="B13" s="36" t="s">
        <v>274</v>
      </c>
      <c r="C13" s="81">
        <f t="shared" ref="C13:N13" si="3">C4*20000</f>
        <v>80000</v>
      </c>
      <c r="D13" s="81">
        <f t="shared" si="3"/>
        <v>80000</v>
      </c>
      <c r="E13" s="81">
        <f t="shared" si="3"/>
        <v>80000</v>
      </c>
      <c r="F13" s="81">
        <f t="shared" si="3"/>
        <v>80000</v>
      </c>
      <c r="G13" s="81">
        <f t="shared" si="3"/>
        <v>80000</v>
      </c>
      <c r="H13" s="81">
        <f t="shared" si="3"/>
        <v>80000</v>
      </c>
      <c r="I13" s="81">
        <f t="shared" si="3"/>
        <v>80000</v>
      </c>
      <c r="J13" s="81">
        <f t="shared" si="3"/>
        <v>80000</v>
      </c>
      <c r="K13" s="81">
        <f t="shared" si="3"/>
        <v>80000</v>
      </c>
      <c r="L13" s="81">
        <f t="shared" si="3"/>
        <v>80000</v>
      </c>
      <c r="M13" s="81">
        <f t="shared" si="3"/>
        <v>80000</v>
      </c>
      <c r="N13" s="81">
        <f t="shared" si="3"/>
        <v>80000</v>
      </c>
      <c r="O13" s="81">
        <f t="shared" ref="O13:Z13" si="4">O4*21200</f>
        <v>106000</v>
      </c>
      <c r="P13" s="81">
        <f t="shared" si="4"/>
        <v>106000</v>
      </c>
      <c r="Q13" s="81">
        <f t="shared" si="4"/>
        <v>106000</v>
      </c>
      <c r="R13" s="81">
        <f t="shared" si="4"/>
        <v>106000</v>
      </c>
      <c r="S13" s="81">
        <f t="shared" si="4"/>
        <v>106000</v>
      </c>
      <c r="T13" s="81">
        <f t="shared" si="4"/>
        <v>106000</v>
      </c>
      <c r="U13" s="81">
        <f t="shared" si="4"/>
        <v>106000</v>
      </c>
      <c r="V13" s="81">
        <f t="shared" si="4"/>
        <v>106000</v>
      </c>
      <c r="W13" s="81">
        <f t="shared" si="4"/>
        <v>106000</v>
      </c>
      <c r="X13" s="81">
        <f t="shared" si="4"/>
        <v>106000</v>
      </c>
      <c r="Y13" s="81">
        <f t="shared" si="4"/>
        <v>106000</v>
      </c>
      <c r="Z13" s="81">
        <f t="shared" si="4"/>
        <v>106000</v>
      </c>
      <c r="AA13" s="81">
        <f t="shared" ref="AA13:AL13" si="5">AA4*22472</f>
        <v>134832</v>
      </c>
      <c r="AB13" s="81">
        <f t="shared" si="5"/>
        <v>134832</v>
      </c>
      <c r="AC13" s="81">
        <f t="shared" si="5"/>
        <v>134832</v>
      </c>
      <c r="AD13" s="81">
        <f t="shared" si="5"/>
        <v>134832</v>
      </c>
      <c r="AE13" s="81">
        <f t="shared" si="5"/>
        <v>134832</v>
      </c>
      <c r="AF13" s="81">
        <f t="shared" si="5"/>
        <v>134832</v>
      </c>
      <c r="AG13" s="81">
        <f t="shared" si="5"/>
        <v>134832</v>
      </c>
      <c r="AH13" s="81">
        <f t="shared" si="5"/>
        <v>134832</v>
      </c>
      <c r="AI13" s="81">
        <f t="shared" si="5"/>
        <v>134832</v>
      </c>
      <c r="AJ13" s="81">
        <f t="shared" si="5"/>
        <v>134832</v>
      </c>
      <c r="AK13" s="81">
        <f t="shared" si="5"/>
        <v>134832</v>
      </c>
      <c r="AL13" s="81">
        <f t="shared" si="5"/>
        <v>134832</v>
      </c>
      <c r="AM13" s="81">
        <f>AM4*23820</f>
        <v>2929860</v>
      </c>
      <c r="AN13" s="81">
        <f>AN4*25250</f>
        <v>3939000</v>
      </c>
    </row>
    <row r="14" spans="1:40" ht="18" customHeight="1">
      <c r="B14" s="36" t="s">
        <v>275</v>
      </c>
      <c r="C14" s="81">
        <f t="shared" ref="C14:N14" si="6">C8*30000</f>
        <v>90000</v>
      </c>
      <c r="D14" s="81">
        <f t="shared" si="6"/>
        <v>90000</v>
      </c>
      <c r="E14" s="81">
        <f t="shared" si="6"/>
        <v>90000</v>
      </c>
      <c r="F14" s="81">
        <f t="shared" si="6"/>
        <v>90000</v>
      </c>
      <c r="G14" s="81">
        <f t="shared" si="6"/>
        <v>90000</v>
      </c>
      <c r="H14" s="81">
        <f t="shared" si="6"/>
        <v>90000</v>
      </c>
      <c r="I14" s="81">
        <f t="shared" si="6"/>
        <v>90000</v>
      </c>
      <c r="J14" s="81">
        <f t="shared" si="6"/>
        <v>90000</v>
      </c>
      <c r="K14" s="81">
        <f t="shared" si="6"/>
        <v>90000</v>
      </c>
      <c r="L14" s="81">
        <f t="shared" si="6"/>
        <v>90000</v>
      </c>
      <c r="M14" s="81">
        <f t="shared" si="6"/>
        <v>90000</v>
      </c>
      <c r="N14" s="81">
        <f t="shared" si="6"/>
        <v>90000</v>
      </c>
      <c r="O14" s="81">
        <f t="shared" ref="O14:Z14" si="7">O8*31800</f>
        <v>127200</v>
      </c>
      <c r="P14" s="81">
        <f t="shared" si="7"/>
        <v>127200</v>
      </c>
      <c r="Q14" s="81">
        <f t="shared" si="7"/>
        <v>127200</v>
      </c>
      <c r="R14" s="81">
        <f t="shared" si="7"/>
        <v>127200</v>
      </c>
      <c r="S14" s="81">
        <f t="shared" si="7"/>
        <v>127200</v>
      </c>
      <c r="T14" s="81">
        <f t="shared" si="7"/>
        <v>127200</v>
      </c>
      <c r="U14" s="81">
        <f t="shared" si="7"/>
        <v>127200</v>
      </c>
      <c r="V14" s="81">
        <f t="shared" si="7"/>
        <v>127200</v>
      </c>
      <c r="W14" s="81">
        <f t="shared" si="7"/>
        <v>127200</v>
      </c>
      <c r="X14" s="81">
        <f t="shared" si="7"/>
        <v>127200</v>
      </c>
      <c r="Y14" s="81">
        <f t="shared" si="7"/>
        <v>127200</v>
      </c>
      <c r="Z14" s="81">
        <f t="shared" si="7"/>
        <v>127200</v>
      </c>
      <c r="AA14" s="81">
        <f t="shared" ref="AA14:AL14" si="8">AA8*33708</f>
        <v>134832</v>
      </c>
      <c r="AB14" s="81">
        <f t="shared" si="8"/>
        <v>134832</v>
      </c>
      <c r="AC14" s="81">
        <f t="shared" si="8"/>
        <v>134832</v>
      </c>
      <c r="AD14" s="81">
        <f t="shared" si="8"/>
        <v>134832</v>
      </c>
      <c r="AE14" s="81">
        <f t="shared" si="8"/>
        <v>134832</v>
      </c>
      <c r="AF14" s="81">
        <f t="shared" si="8"/>
        <v>134832</v>
      </c>
      <c r="AG14" s="81">
        <f t="shared" si="8"/>
        <v>134832</v>
      </c>
      <c r="AH14" s="81">
        <f t="shared" si="8"/>
        <v>134832</v>
      </c>
      <c r="AI14" s="81">
        <f t="shared" si="8"/>
        <v>134832</v>
      </c>
      <c r="AJ14" s="81">
        <f t="shared" si="8"/>
        <v>134832</v>
      </c>
      <c r="AK14" s="81">
        <f t="shared" si="8"/>
        <v>134832</v>
      </c>
      <c r="AL14" s="81">
        <f t="shared" si="8"/>
        <v>134832</v>
      </c>
      <c r="AM14" s="81">
        <f>AM8*35730</f>
        <v>3930300</v>
      </c>
      <c r="AN14" s="81">
        <f>AN8*37874</f>
        <v>5453856</v>
      </c>
    </row>
    <row r="15" spans="1:40" ht="18" customHeight="1">
      <c r="B15" s="82" t="s">
        <v>276</v>
      </c>
      <c r="C15" s="84">
        <f t="shared" ref="C15:AN15" si="9">C13+C14</f>
        <v>170000</v>
      </c>
      <c r="D15" s="84">
        <f t="shared" si="9"/>
        <v>170000</v>
      </c>
      <c r="E15" s="84">
        <f t="shared" si="9"/>
        <v>170000</v>
      </c>
      <c r="F15" s="84">
        <f t="shared" si="9"/>
        <v>170000</v>
      </c>
      <c r="G15" s="84">
        <f t="shared" si="9"/>
        <v>170000</v>
      </c>
      <c r="H15" s="84">
        <f t="shared" si="9"/>
        <v>170000</v>
      </c>
      <c r="I15" s="84">
        <f t="shared" si="9"/>
        <v>170000</v>
      </c>
      <c r="J15" s="84">
        <f t="shared" si="9"/>
        <v>170000</v>
      </c>
      <c r="K15" s="84">
        <f t="shared" si="9"/>
        <v>170000</v>
      </c>
      <c r="L15" s="84">
        <f t="shared" si="9"/>
        <v>170000</v>
      </c>
      <c r="M15" s="84">
        <f t="shared" si="9"/>
        <v>170000</v>
      </c>
      <c r="N15" s="84">
        <f t="shared" si="9"/>
        <v>170000</v>
      </c>
      <c r="O15" s="84">
        <f t="shared" si="9"/>
        <v>233200</v>
      </c>
      <c r="P15" s="84">
        <f t="shared" si="9"/>
        <v>233200</v>
      </c>
      <c r="Q15" s="84">
        <f t="shared" si="9"/>
        <v>233200</v>
      </c>
      <c r="R15" s="84">
        <f t="shared" si="9"/>
        <v>233200</v>
      </c>
      <c r="S15" s="84">
        <f t="shared" si="9"/>
        <v>233200</v>
      </c>
      <c r="T15" s="84">
        <f t="shared" si="9"/>
        <v>233200</v>
      </c>
      <c r="U15" s="84">
        <f t="shared" si="9"/>
        <v>233200</v>
      </c>
      <c r="V15" s="84">
        <f t="shared" si="9"/>
        <v>233200</v>
      </c>
      <c r="W15" s="84">
        <f t="shared" si="9"/>
        <v>233200</v>
      </c>
      <c r="X15" s="84">
        <f t="shared" si="9"/>
        <v>233200</v>
      </c>
      <c r="Y15" s="84">
        <f t="shared" si="9"/>
        <v>233200</v>
      </c>
      <c r="Z15" s="84">
        <f t="shared" si="9"/>
        <v>233200</v>
      </c>
      <c r="AA15" s="84">
        <f t="shared" si="9"/>
        <v>269664</v>
      </c>
      <c r="AB15" s="84">
        <f t="shared" si="9"/>
        <v>269664</v>
      </c>
      <c r="AC15" s="84">
        <f t="shared" si="9"/>
        <v>269664</v>
      </c>
      <c r="AD15" s="84">
        <f t="shared" si="9"/>
        <v>269664</v>
      </c>
      <c r="AE15" s="84">
        <f t="shared" si="9"/>
        <v>269664</v>
      </c>
      <c r="AF15" s="84">
        <f t="shared" si="9"/>
        <v>269664</v>
      </c>
      <c r="AG15" s="84">
        <f t="shared" si="9"/>
        <v>269664</v>
      </c>
      <c r="AH15" s="84">
        <f t="shared" si="9"/>
        <v>269664</v>
      </c>
      <c r="AI15" s="84">
        <f t="shared" si="9"/>
        <v>269664</v>
      </c>
      <c r="AJ15" s="84">
        <f t="shared" si="9"/>
        <v>269664</v>
      </c>
      <c r="AK15" s="84">
        <f t="shared" si="9"/>
        <v>269664</v>
      </c>
      <c r="AL15" s="84">
        <f t="shared" si="9"/>
        <v>269664</v>
      </c>
      <c r="AM15" s="84">
        <f t="shared" si="9"/>
        <v>6860160</v>
      </c>
      <c r="AN15" s="84">
        <f t="shared" si="9"/>
        <v>9392856</v>
      </c>
    </row>
    <row r="16" spans="1:40" ht="18" customHeight="1">
      <c r="B16" s="82" t="s">
        <v>277</v>
      </c>
      <c r="C16" s="85">
        <f t="shared" ref="C16:AN16" si="10">C12-C15</f>
        <v>225000</v>
      </c>
      <c r="D16" s="85">
        <f t="shared" si="10"/>
        <v>225000</v>
      </c>
      <c r="E16" s="85">
        <f t="shared" si="10"/>
        <v>225000</v>
      </c>
      <c r="F16" s="85">
        <f t="shared" si="10"/>
        <v>225000</v>
      </c>
      <c r="G16" s="85">
        <f t="shared" si="10"/>
        <v>225000</v>
      </c>
      <c r="H16" s="85">
        <f t="shared" si="10"/>
        <v>225000</v>
      </c>
      <c r="I16" s="85">
        <f t="shared" si="10"/>
        <v>225000</v>
      </c>
      <c r="J16" s="85">
        <f t="shared" si="10"/>
        <v>225000</v>
      </c>
      <c r="K16" s="85">
        <f t="shared" si="10"/>
        <v>225000</v>
      </c>
      <c r="L16" s="85">
        <f t="shared" si="10"/>
        <v>225000</v>
      </c>
      <c r="M16" s="85">
        <f t="shared" si="10"/>
        <v>225000</v>
      </c>
      <c r="N16" s="85">
        <f t="shared" si="10"/>
        <v>225000</v>
      </c>
      <c r="O16" s="85">
        <f t="shared" si="10"/>
        <v>298550</v>
      </c>
      <c r="P16" s="85">
        <f t="shared" si="10"/>
        <v>298550</v>
      </c>
      <c r="Q16" s="85">
        <f t="shared" si="10"/>
        <v>298550</v>
      </c>
      <c r="R16" s="85">
        <f t="shared" si="10"/>
        <v>298550</v>
      </c>
      <c r="S16" s="85">
        <f t="shared" si="10"/>
        <v>298550</v>
      </c>
      <c r="T16" s="85">
        <f t="shared" si="10"/>
        <v>298550</v>
      </c>
      <c r="U16" s="85">
        <f t="shared" si="10"/>
        <v>298550</v>
      </c>
      <c r="V16" s="85">
        <f t="shared" si="10"/>
        <v>298550</v>
      </c>
      <c r="W16" s="85">
        <f t="shared" si="10"/>
        <v>298550</v>
      </c>
      <c r="X16" s="85">
        <f t="shared" si="10"/>
        <v>298550</v>
      </c>
      <c r="Y16" s="85">
        <f t="shared" si="10"/>
        <v>298550</v>
      </c>
      <c r="Z16" s="85">
        <f t="shared" si="10"/>
        <v>298550</v>
      </c>
      <c r="AA16" s="85">
        <f t="shared" si="10"/>
        <v>345523</v>
      </c>
      <c r="AB16" s="85">
        <f t="shared" si="10"/>
        <v>345523</v>
      </c>
      <c r="AC16" s="85">
        <f t="shared" si="10"/>
        <v>345523</v>
      </c>
      <c r="AD16" s="85">
        <f t="shared" si="10"/>
        <v>345523</v>
      </c>
      <c r="AE16" s="85">
        <f t="shared" si="10"/>
        <v>345523</v>
      </c>
      <c r="AF16" s="85">
        <f t="shared" si="10"/>
        <v>345523</v>
      </c>
      <c r="AG16" s="85">
        <f t="shared" si="10"/>
        <v>345523</v>
      </c>
      <c r="AH16" s="85">
        <f t="shared" si="10"/>
        <v>345523</v>
      </c>
      <c r="AI16" s="85">
        <f t="shared" si="10"/>
        <v>345523</v>
      </c>
      <c r="AJ16" s="85">
        <f t="shared" si="10"/>
        <v>345523</v>
      </c>
      <c r="AK16" s="85">
        <f t="shared" si="10"/>
        <v>345523</v>
      </c>
      <c r="AL16" s="85">
        <f t="shared" si="10"/>
        <v>345523</v>
      </c>
      <c r="AM16" s="85">
        <f t="shared" si="10"/>
        <v>8173340</v>
      </c>
      <c r="AN16" s="85">
        <f t="shared" si="10"/>
        <v>10904785</v>
      </c>
    </row>
    <row r="17" spans="2:40" ht="18" customHeight="1">
      <c r="B17" s="36" t="s">
        <v>278</v>
      </c>
      <c r="C17" s="86">
        <f t="shared" ref="C17:AN17" si="11">IFERROR(C16/C12,0)</f>
        <v>0.569620253164557</v>
      </c>
      <c r="D17" s="86">
        <f t="shared" si="11"/>
        <v>0.569620253164557</v>
      </c>
      <c r="E17" s="86">
        <f t="shared" si="11"/>
        <v>0.569620253164557</v>
      </c>
      <c r="F17" s="86">
        <f t="shared" si="11"/>
        <v>0.569620253164557</v>
      </c>
      <c r="G17" s="86">
        <f t="shared" si="11"/>
        <v>0.569620253164557</v>
      </c>
      <c r="H17" s="86">
        <f t="shared" si="11"/>
        <v>0.569620253164557</v>
      </c>
      <c r="I17" s="86">
        <f t="shared" si="11"/>
        <v>0.569620253164557</v>
      </c>
      <c r="J17" s="86">
        <f t="shared" si="11"/>
        <v>0.569620253164557</v>
      </c>
      <c r="K17" s="86">
        <f t="shared" si="11"/>
        <v>0.569620253164557</v>
      </c>
      <c r="L17" s="86">
        <f t="shared" si="11"/>
        <v>0.569620253164557</v>
      </c>
      <c r="M17" s="86">
        <f t="shared" si="11"/>
        <v>0.569620253164557</v>
      </c>
      <c r="N17" s="86">
        <f t="shared" si="11"/>
        <v>0.569620253164557</v>
      </c>
      <c r="O17" s="86">
        <f t="shared" si="11"/>
        <v>0.56144804889515754</v>
      </c>
      <c r="P17" s="86">
        <f t="shared" si="11"/>
        <v>0.56144804889515754</v>
      </c>
      <c r="Q17" s="86">
        <f t="shared" si="11"/>
        <v>0.56144804889515754</v>
      </c>
      <c r="R17" s="86">
        <f t="shared" si="11"/>
        <v>0.56144804889515754</v>
      </c>
      <c r="S17" s="86">
        <f t="shared" si="11"/>
        <v>0.56144804889515754</v>
      </c>
      <c r="T17" s="86">
        <f t="shared" si="11"/>
        <v>0.56144804889515754</v>
      </c>
      <c r="U17" s="86">
        <f t="shared" si="11"/>
        <v>0.56144804889515754</v>
      </c>
      <c r="V17" s="86">
        <f t="shared" si="11"/>
        <v>0.56144804889515754</v>
      </c>
      <c r="W17" s="86">
        <f t="shared" si="11"/>
        <v>0.56144804889515754</v>
      </c>
      <c r="X17" s="86">
        <f t="shared" si="11"/>
        <v>0.56144804889515754</v>
      </c>
      <c r="Y17" s="86">
        <f t="shared" si="11"/>
        <v>0.56144804889515754</v>
      </c>
      <c r="Z17" s="86">
        <f t="shared" si="11"/>
        <v>0.56144804889515754</v>
      </c>
      <c r="AA17" s="86">
        <f t="shared" si="11"/>
        <v>0.56165523653783322</v>
      </c>
      <c r="AB17" s="86">
        <f t="shared" si="11"/>
        <v>0.56165523653783322</v>
      </c>
      <c r="AC17" s="86">
        <f t="shared" si="11"/>
        <v>0.56165523653783322</v>
      </c>
      <c r="AD17" s="86">
        <f t="shared" si="11"/>
        <v>0.56165523653783322</v>
      </c>
      <c r="AE17" s="86">
        <f t="shared" si="11"/>
        <v>0.56165523653783322</v>
      </c>
      <c r="AF17" s="86">
        <f t="shared" si="11"/>
        <v>0.56165523653783322</v>
      </c>
      <c r="AG17" s="86">
        <f t="shared" si="11"/>
        <v>0.56165523653783322</v>
      </c>
      <c r="AH17" s="86">
        <f t="shared" si="11"/>
        <v>0.56165523653783322</v>
      </c>
      <c r="AI17" s="86">
        <f t="shared" si="11"/>
        <v>0.56165523653783322</v>
      </c>
      <c r="AJ17" s="86">
        <f t="shared" si="11"/>
        <v>0.56165523653783322</v>
      </c>
      <c r="AK17" s="86">
        <f t="shared" si="11"/>
        <v>0.56165523653783322</v>
      </c>
      <c r="AL17" s="86">
        <f t="shared" si="11"/>
        <v>0.56165523653783322</v>
      </c>
      <c r="AM17" s="86">
        <f t="shared" si="11"/>
        <v>0.54367512555293174</v>
      </c>
      <c r="AN17" s="86">
        <f t="shared" si="11"/>
        <v>0.53724395854670992</v>
      </c>
    </row>
  </sheetData>
  <mergeCells count="1">
    <mergeCell ref="A1:AN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D77"/>
  </sheetPr>
  <dimension ref="A1:AP30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P1"/>
    </sheetView>
  </sheetViews>
  <sheetFormatPr defaultColWidth="8.7109375" defaultRowHeight="15"/>
  <cols>
    <col min="1" max="1" width="3" customWidth="1"/>
    <col min="2" max="2" width="36" customWidth="1"/>
    <col min="3" max="40" width="10" customWidth="1"/>
  </cols>
  <sheetData>
    <row r="1" spans="1:42" ht="27.75" customHeight="1">
      <c r="A1" s="150" t="s">
        <v>279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</row>
    <row r="2" spans="1:42" ht="30" customHeight="1">
      <c r="B2" s="75" t="s">
        <v>280</v>
      </c>
      <c r="C2" s="76" t="s">
        <v>226</v>
      </c>
      <c r="D2" s="76" t="s">
        <v>227</v>
      </c>
      <c r="E2" s="76" t="s">
        <v>228</v>
      </c>
      <c r="F2" s="76" t="s">
        <v>229</v>
      </c>
      <c r="G2" s="76" t="s">
        <v>230</v>
      </c>
      <c r="H2" s="76" t="s">
        <v>231</v>
      </c>
      <c r="I2" s="76" t="s">
        <v>232</v>
      </c>
      <c r="J2" s="76" t="s">
        <v>233</v>
      </c>
      <c r="K2" s="76" t="s">
        <v>234</v>
      </c>
      <c r="L2" s="76" t="s">
        <v>235</v>
      </c>
      <c r="M2" s="76" t="s">
        <v>236</v>
      </c>
      <c r="N2" s="76" t="s">
        <v>237</v>
      </c>
      <c r="O2" s="76" t="s">
        <v>238</v>
      </c>
      <c r="P2" s="76" t="s">
        <v>239</v>
      </c>
      <c r="Q2" s="76" t="s">
        <v>240</v>
      </c>
      <c r="R2" s="76" t="s">
        <v>241</v>
      </c>
      <c r="S2" s="76" t="s">
        <v>242</v>
      </c>
      <c r="T2" s="76" t="s">
        <v>243</v>
      </c>
      <c r="U2" s="76" t="s">
        <v>244</v>
      </c>
      <c r="V2" s="76" t="s">
        <v>245</v>
      </c>
      <c r="W2" s="76" t="s">
        <v>246</v>
      </c>
      <c r="X2" s="76" t="s">
        <v>247</v>
      </c>
      <c r="Y2" s="76" t="s">
        <v>248</v>
      </c>
      <c r="Z2" s="76" t="s">
        <v>249</v>
      </c>
      <c r="AA2" s="76" t="s">
        <v>250</v>
      </c>
      <c r="AB2" s="76" t="s">
        <v>251</v>
      </c>
      <c r="AC2" s="76" t="s">
        <v>252</v>
      </c>
      <c r="AD2" s="76" t="s">
        <v>253</v>
      </c>
      <c r="AE2" s="76" t="s">
        <v>254</v>
      </c>
      <c r="AF2" s="76" t="s">
        <v>255</v>
      </c>
      <c r="AG2" s="76" t="s">
        <v>256</v>
      </c>
      <c r="AH2" s="76" t="s">
        <v>257</v>
      </c>
      <c r="AI2" s="76" t="s">
        <v>258</v>
      </c>
      <c r="AJ2" s="76" t="s">
        <v>259</v>
      </c>
      <c r="AK2" s="76" t="s">
        <v>260</v>
      </c>
      <c r="AL2" s="76" t="s">
        <v>261</v>
      </c>
      <c r="AM2" s="76" t="s">
        <v>262</v>
      </c>
      <c r="AN2" s="76" t="s">
        <v>263</v>
      </c>
    </row>
    <row r="3" spans="1:42" ht="18" customHeight="1">
      <c r="B3" s="77" t="s">
        <v>281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42" ht="15.75" customHeight="1">
      <c r="B4" s="36" t="s">
        <v>282</v>
      </c>
      <c r="C4" s="80">
        <v>380000</v>
      </c>
      <c r="D4" s="80">
        <v>386333</v>
      </c>
      <c r="E4" s="80">
        <v>392772</v>
      </c>
      <c r="F4" s="80">
        <v>399318</v>
      </c>
      <c r="G4" s="80">
        <v>405974</v>
      </c>
      <c r="H4" s="80">
        <v>412740</v>
      </c>
      <c r="I4" s="80">
        <v>419619</v>
      </c>
      <c r="J4" s="80">
        <v>426613</v>
      </c>
      <c r="K4" s="80">
        <v>433723</v>
      </c>
      <c r="L4" s="80">
        <v>440952</v>
      </c>
      <c r="M4" s="80">
        <v>448301</v>
      </c>
      <c r="N4" s="80">
        <v>455772</v>
      </c>
      <c r="O4" s="80">
        <v>463369</v>
      </c>
      <c r="P4" s="80">
        <v>471091</v>
      </c>
      <c r="Q4" s="80">
        <v>478943</v>
      </c>
      <c r="R4" s="80">
        <v>486925</v>
      </c>
      <c r="S4" s="80">
        <v>495041</v>
      </c>
      <c r="T4" s="80">
        <v>503291</v>
      </c>
      <c r="U4" s="80">
        <v>511680</v>
      </c>
      <c r="V4" s="80">
        <v>520208</v>
      </c>
      <c r="W4" s="80">
        <v>528878</v>
      </c>
      <c r="X4" s="80">
        <v>537692</v>
      </c>
      <c r="Y4" s="80">
        <v>546654</v>
      </c>
      <c r="Z4" s="80">
        <v>555765</v>
      </c>
      <c r="AA4" s="80">
        <v>565028</v>
      </c>
      <c r="AB4" s="80">
        <v>574445</v>
      </c>
      <c r="AC4" s="80">
        <v>584019</v>
      </c>
      <c r="AD4" s="80">
        <v>593752</v>
      </c>
      <c r="AE4" s="80">
        <v>603648</v>
      </c>
      <c r="AF4" s="80">
        <v>613709</v>
      </c>
      <c r="AG4" s="80">
        <v>623938</v>
      </c>
      <c r="AH4" s="80">
        <v>634337</v>
      </c>
      <c r="AI4" s="80">
        <v>644909</v>
      </c>
      <c r="AJ4" s="80">
        <v>655657</v>
      </c>
      <c r="AK4" s="80">
        <v>666585</v>
      </c>
      <c r="AL4" s="80">
        <v>677695</v>
      </c>
      <c r="AM4" s="80">
        <v>7879680</v>
      </c>
      <c r="AN4" s="80">
        <v>9455616</v>
      </c>
    </row>
    <row r="5" spans="1:42" ht="18" customHeight="1">
      <c r="B5" s="77" t="s">
        <v>283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</row>
    <row r="6" spans="1:42" ht="15.75" customHeight="1">
      <c r="B6" s="36" t="s">
        <v>284</v>
      </c>
      <c r="C6" s="80">
        <v>110000</v>
      </c>
      <c r="D6" s="80">
        <v>110550</v>
      </c>
      <c r="E6" s="80">
        <v>111103</v>
      </c>
      <c r="F6" s="80">
        <v>111658</v>
      </c>
      <c r="G6" s="80">
        <v>112217</v>
      </c>
      <c r="H6" s="80">
        <v>112778</v>
      </c>
      <c r="I6" s="80">
        <v>113342</v>
      </c>
      <c r="J6" s="80">
        <v>113908</v>
      </c>
      <c r="K6" s="80">
        <v>114478</v>
      </c>
      <c r="L6" s="80">
        <v>115050</v>
      </c>
      <c r="M6" s="80">
        <v>115625</v>
      </c>
      <c r="N6" s="80">
        <v>116204</v>
      </c>
      <c r="O6" s="80">
        <v>116785</v>
      </c>
      <c r="P6" s="80">
        <v>117368</v>
      </c>
      <c r="Q6" s="80">
        <v>117955</v>
      </c>
      <c r="R6" s="80">
        <v>118545</v>
      </c>
      <c r="S6" s="80">
        <v>119138</v>
      </c>
      <c r="T6" s="80">
        <v>119734</v>
      </c>
      <c r="U6" s="80">
        <v>120332</v>
      </c>
      <c r="V6" s="80">
        <v>120934</v>
      </c>
      <c r="W6" s="80">
        <v>121539</v>
      </c>
      <c r="X6" s="80">
        <v>122146</v>
      </c>
      <c r="Y6" s="80">
        <v>122757</v>
      </c>
      <c r="Z6" s="80">
        <v>123371</v>
      </c>
      <c r="AA6" s="80">
        <v>123988</v>
      </c>
      <c r="AB6" s="80">
        <v>124608</v>
      </c>
      <c r="AC6" s="80">
        <v>125231</v>
      </c>
      <c r="AD6" s="80">
        <v>125857</v>
      </c>
      <c r="AE6" s="80">
        <v>126486</v>
      </c>
      <c r="AF6" s="80">
        <v>127118</v>
      </c>
      <c r="AG6" s="80">
        <v>127754</v>
      </c>
      <c r="AH6" s="80">
        <v>128393</v>
      </c>
      <c r="AI6" s="80">
        <v>129035</v>
      </c>
      <c r="AJ6" s="80">
        <v>129680</v>
      </c>
      <c r="AK6" s="80">
        <v>130328</v>
      </c>
      <c r="AL6" s="80">
        <v>130980</v>
      </c>
      <c r="AM6" s="80">
        <v>1572141</v>
      </c>
      <c r="AN6" s="80">
        <v>1666470</v>
      </c>
    </row>
    <row r="7" spans="1:42" ht="15.75" customHeight="1">
      <c r="B7" s="36" t="s">
        <v>285</v>
      </c>
      <c r="C7" s="80">
        <v>28000</v>
      </c>
      <c r="D7" s="80">
        <v>28163</v>
      </c>
      <c r="E7" s="80">
        <v>28328</v>
      </c>
      <c r="F7" s="80">
        <v>28493</v>
      </c>
      <c r="G7" s="80">
        <v>28659</v>
      </c>
      <c r="H7" s="80">
        <v>28826</v>
      </c>
      <c r="I7" s="80">
        <v>28994</v>
      </c>
      <c r="J7" s="80">
        <v>29164</v>
      </c>
      <c r="K7" s="80">
        <v>29334</v>
      </c>
      <c r="L7" s="80">
        <v>29505</v>
      </c>
      <c r="M7" s="80">
        <v>29677</v>
      </c>
      <c r="N7" s="80">
        <v>29850</v>
      </c>
      <c r="O7" s="80">
        <v>30024</v>
      </c>
      <c r="P7" s="80">
        <v>30199</v>
      </c>
      <c r="Q7" s="80">
        <v>30375</v>
      </c>
      <c r="R7" s="80">
        <v>30553</v>
      </c>
      <c r="S7" s="80">
        <v>30731</v>
      </c>
      <c r="T7" s="80">
        <v>30910</v>
      </c>
      <c r="U7" s="80">
        <v>31090</v>
      </c>
      <c r="V7" s="80">
        <v>31272</v>
      </c>
      <c r="W7" s="80">
        <v>31454</v>
      </c>
      <c r="X7" s="80">
        <v>31638</v>
      </c>
      <c r="Y7" s="80">
        <v>31822</v>
      </c>
      <c r="Z7" s="80">
        <v>32008</v>
      </c>
      <c r="AA7" s="80">
        <v>32195</v>
      </c>
      <c r="AB7" s="80">
        <v>32382</v>
      </c>
      <c r="AC7" s="80">
        <v>32571</v>
      </c>
      <c r="AD7" s="80">
        <v>32761</v>
      </c>
      <c r="AE7" s="80">
        <v>32952</v>
      </c>
      <c r="AF7" s="80">
        <v>33145</v>
      </c>
      <c r="AG7" s="80">
        <v>33338</v>
      </c>
      <c r="AH7" s="80">
        <v>33532</v>
      </c>
      <c r="AI7" s="80">
        <v>33728</v>
      </c>
      <c r="AJ7" s="80">
        <v>33925</v>
      </c>
      <c r="AK7" s="80">
        <v>34123</v>
      </c>
      <c r="AL7" s="80">
        <v>34322</v>
      </c>
      <c r="AM7" s="80">
        <v>411614</v>
      </c>
      <c r="AN7" s="80">
        <v>440427</v>
      </c>
    </row>
    <row r="8" spans="1:42" ht="15.75" customHeight="1">
      <c r="B8" s="36" t="s">
        <v>286</v>
      </c>
      <c r="C8" s="80">
        <v>15000</v>
      </c>
      <c r="D8" s="80">
        <v>15062</v>
      </c>
      <c r="E8" s="80">
        <v>15125</v>
      </c>
      <c r="F8" s="80">
        <v>15188</v>
      </c>
      <c r="G8" s="80">
        <v>15252</v>
      </c>
      <c r="H8" s="80">
        <v>15315</v>
      </c>
      <c r="I8" s="80">
        <v>15379</v>
      </c>
      <c r="J8" s="80">
        <v>15443</v>
      </c>
      <c r="K8" s="80">
        <v>15507</v>
      </c>
      <c r="L8" s="80">
        <v>15572</v>
      </c>
      <c r="M8" s="80">
        <v>15637</v>
      </c>
      <c r="N8" s="80">
        <v>15702</v>
      </c>
      <c r="O8" s="80">
        <v>15767</v>
      </c>
      <c r="P8" s="80">
        <v>15833</v>
      </c>
      <c r="Q8" s="80">
        <v>15899</v>
      </c>
      <c r="R8" s="80">
        <v>15965</v>
      </c>
      <c r="S8" s="80">
        <v>16032</v>
      </c>
      <c r="T8" s="80">
        <v>16099</v>
      </c>
      <c r="U8" s="80">
        <v>16166</v>
      </c>
      <c r="V8" s="80">
        <v>16233</v>
      </c>
      <c r="W8" s="80">
        <v>16301</v>
      </c>
      <c r="X8" s="80">
        <v>16369</v>
      </c>
      <c r="Y8" s="80">
        <v>16437</v>
      </c>
      <c r="Z8" s="80">
        <v>16505</v>
      </c>
      <c r="AA8" s="80">
        <v>16574</v>
      </c>
      <c r="AB8" s="80">
        <v>16643</v>
      </c>
      <c r="AC8" s="80">
        <v>16713</v>
      </c>
      <c r="AD8" s="80">
        <v>16782</v>
      </c>
      <c r="AE8" s="80">
        <v>16852</v>
      </c>
      <c r="AF8" s="80">
        <v>16922</v>
      </c>
      <c r="AG8" s="80">
        <v>16993</v>
      </c>
      <c r="AH8" s="80">
        <v>17064</v>
      </c>
      <c r="AI8" s="80">
        <v>17135</v>
      </c>
      <c r="AJ8" s="80">
        <v>17206</v>
      </c>
      <c r="AK8" s="80">
        <v>17278</v>
      </c>
      <c r="AL8" s="80">
        <v>17350</v>
      </c>
      <c r="AM8" s="80">
        <v>208373</v>
      </c>
      <c r="AN8" s="80">
        <v>218791</v>
      </c>
    </row>
    <row r="9" spans="1:42" ht="18" customHeight="1">
      <c r="B9" s="87" t="s">
        <v>287</v>
      </c>
      <c r="C9" s="83">
        <f t="shared" ref="C9:AN9" si="0">C6+C7+C8</f>
        <v>153000</v>
      </c>
      <c r="D9" s="83">
        <f t="shared" si="0"/>
        <v>153775</v>
      </c>
      <c r="E9" s="83">
        <f t="shared" si="0"/>
        <v>154556</v>
      </c>
      <c r="F9" s="83">
        <f t="shared" si="0"/>
        <v>155339</v>
      </c>
      <c r="G9" s="83">
        <f t="shared" si="0"/>
        <v>156128</v>
      </c>
      <c r="H9" s="83">
        <f t="shared" si="0"/>
        <v>156919</v>
      </c>
      <c r="I9" s="83">
        <f t="shared" si="0"/>
        <v>157715</v>
      </c>
      <c r="J9" s="83">
        <f t="shared" si="0"/>
        <v>158515</v>
      </c>
      <c r="K9" s="83">
        <f t="shared" si="0"/>
        <v>159319</v>
      </c>
      <c r="L9" s="83">
        <f t="shared" si="0"/>
        <v>160127</v>
      </c>
      <c r="M9" s="83">
        <f t="shared" si="0"/>
        <v>160939</v>
      </c>
      <c r="N9" s="83">
        <f t="shared" si="0"/>
        <v>161756</v>
      </c>
      <c r="O9" s="83">
        <f t="shared" si="0"/>
        <v>162576</v>
      </c>
      <c r="P9" s="83">
        <f t="shared" si="0"/>
        <v>163400</v>
      </c>
      <c r="Q9" s="83">
        <f t="shared" si="0"/>
        <v>164229</v>
      </c>
      <c r="R9" s="83">
        <f t="shared" si="0"/>
        <v>165063</v>
      </c>
      <c r="S9" s="83">
        <f t="shared" si="0"/>
        <v>165901</v>
      </c>
      <c r="T9" s="83">
        <f t="shared" si="0"/>
        <v>166743</v>
      </c>
      <c r="U9" s="83">
        <f t="shared" si="0"/>
        <v>167588</v>
      </c>
      <c r="V9" s="83">
        <f t="shared" si="0"/>
        <v>168439</v>
      </c>
      <c r="W9" s="83">
        <f t="shared" si="0"/>
        <v>169294</v>
      </c>
      <c r="X9" s="83">
        <f t="shared" si="0"/>
        <v>170153</v>
      </c>
      <c r="Y9" s="83">
        <f t="shared" si="0"/>
        <v>171016</v>
      </c>
      <c r="Z9" s="83">
        <f t="shared" si="0"/>
        <v>171884</v>
      </c>
      <c r="AA9" s="83">
        <f t="shared" si="0"/>
        <v>172757</v>
      </c>
      <c r="AB9" s="83">
        <f t="shared" si="0"/>
        <v>173633</v>
      </c>
      <c r="AC9" s="83">
        <f t="shared" si="0"/>
        <v>174515</v>
      </c>
      <c r="AD9" s="83">
        <f t="shared" si="0"/>
        <v>175400</v>
      </c>
      <c r="AE9" s="83">
        <f t="shared" si="0"/>
        <v>176290</v>
      </c>
      <c r="AF9" s="83">
        <f t="shared" si="0"/>
        <v>177185</v>
      </c>
      <c r="AG9" s="83">
        <f t="shared" si="0"/>
        <v>178085</v>
      </c>
      <c r="AH9" s="83">
        <f t="shared" si="0"/>
        <v>178989</v>
      </c>
      <c r="AI9" s="83">
        <f t="shared" si="0"/>
        <v>179898</v>
      </c>
      <c r="AJ9" s="83">
        <f t="shared" si="0"/>
        <v>180811</v>
      </c>
      <c r="AK9" s="83">
        <f t="shared" si="0"/>
        <v>181729</v>
      </c>
      <c r="AL9" s="83">
        <f t="shared" si="0"/>
        <v>182652</v>
      </c>
      <c r="AM9" s="83">
        <f t="shared" si="0"/>
        <v>2192128</v>
      </c>
      <c r="AN9" s="83">
        <f t="shared" si="0"/>
        <v>2325688</v>
      </c>
    </row>
    <row r="10" spans="1:42" ht="18" customHeight="1">
      <c r="B10" s="87" t="s">
        <v>277</v>
      </c>
      <c r="C10" s="85">
        <f t="shared" ref="C10:AN10" si="1">C4-C9</f>
        <v>227000</v>
      </c>
      <c r="D10" s="85">
        <f t="shared" si="1"/>
        <v>232558</v>
      </c>
      <c r="E10" s="85">
        <f t="shared" si="1"/>
        <v>238216</v>
      </c>
      <c r="F10" s="85">
        <f t="shared" si="1"/>
        <v>243979</v>
      </c>
      <c r="G10" s="85">
        <f t="shared" si="1"/>
        <v>249846</v>
      </c>
      <c r="H10" s="85">
        <f t="shared" si="1"/>
        <v>255821</v>
      </c>
      <c r="I10" s="85">
        <f t="shared" si="1"/>
        <v>261904</v>
      </c>
      <c r="J10" s="85">
        <f t="shared" si="1"/>
        <v>268098</v>
      </c>
      <c r="K10" s="85">
        <f t="shared" si="1"/>
        <v>274404</v>
      </c>
      <c r="L10" s="85">
        <f t="shared" si="1"/>
        <v>280825</v>
      </c>
      <c r="M10" s="85">
        <f t="shared" si="1"/>
        <v>287362</v>
      </c>
      <c r="N10" s="85">
        <f t="shared" si="1"/>
        <v>294016</v>
      </c>
      <c r="O10" s="85">
        <f t="shared" si="1"/>
        <v>300793</v>
      </c>
      <c r="P10" s="85">
        <f t="shared" si="1"/>
        <v>307691</v>
      </c>
      <c r="Q10" s="85">
        <f t="shared" si="1"/>
        <v>314714</v>
      </c>
      <c r="R10" s="85">
        <f t="shared" si="1"/>
        <v>321862</v>
      </c>
      <c r="S10" s="85">
        <f t="shared" si="1"/>
        <v>329140</v>
      </c>
      <c r="T10" s="85">
        <f t="shared" si="1"/>
        <v>336548</v>
      </c>
      <c r="U10" s="85">
        <f t="shared" si="1"/>
        <v>344092</v>
      </c>
      <c r="V10" s="85">
        <f t="shared" si="1"/>
        <v>351769</v>
      </c>
      <c r="W10" s="85">
        <f t="shared" si="1"/>
        <v>359584</v>
      </c>
      <c r="X10" s="85">
        <f t="shared" si="1"/>
        <v>367539</v>
      </c>
      <c r="Y10" s="85">
        <f t="shared" si="1"/>
        <v>375638</v>
      </c>
      <c r="Z10" s="85">
        <f t="shared" si="1"/>
        <v>383881</v>
      </c>
      <c r="AA10" s="85">
        <f t="shared" si="1"/>
        <v>392271</v>
      </c>
      <c r="AB10" s="85">
        <f t="shared" si="1"/>
        <v>400812</v>
      </c>
      <c r="AC10" s="85">
        <f t="shared" si="1"/>
        <v>409504</v>
      </c>
      <c r="AD10" s="85">
        <f t="shared" si="1"/>
        <v>418352</v>
      </c>
      <c r="AE10" s="85">
        <f t="shared" si="1"/>
        <v>427358</v>
      </c>
      <c r="AF10" s="85">
        <f t="shared" si="1"/>
        <v>436524</v>
      </c>
      <c r="AG10" s="85">
        <f t="shared" si="1"/>
        <v>445853</v>
      </c>
      <c r="AH10" s="85">
        <f t="shared" si="1"/>
        <v>455348</v>
      </c>
      <c r="AI10" s="85">
        <f t="shared" si="1"/>
        <v>465011</v>
      </c>
      <c r="AJ10" s="85">
        <f t="shared" si="1"/>
        <v>474846</v>
      </c>
      <c r="AK10" s="85">
        <f t="shared" si="1"/>
        <v>484856</v>
      </c>
      <c r="AL10" s="85">
        <f t="shared" si="1"/>
        <v>495043</v>
      </c>
      <c r="AM10" s="85">
        <f t="shared" si="1"/>
        <v>5687552</v>
      </c>
      <c r="AN10" s="85">
        <f t="shared" si="1"/>
        <v>7129928</v>
      </c>
    </row>
    <row r="11" spans="1:42" ht="15.75" customHeight="1">
      <c r="B11" s="36" t="s">
        <v>288</v>
      </c>
      <c r="C11" s="86">
        <f t="shared" ref="C11:AN11" si="2">IFERROR(C10/C4,0)</f>
        <v>0.59736842105263155</v>
      </c>
      <c r="D11" s="86">
        <f t="shared" si="2"/>
        <v>0.60196255561911616</v>
      </c>
      <c r="E11" s="86">
        <f t="shared" si="2"/>
        <v>0.60649944497061914</v>
      </c>
      <c r="F11" s="86">
        <f t="shared" si="2"/>
        <v>0.6109892366484857</v>
      </c>
      <c r="G11" s="86">
        <f t="shared" si="2"/>
        <v>0.61542364781981107</v>
      </c>
      <c r="H11" s="86">
        <f t="shared" si="2"/>
        <v>0.6198115036100208</v>
      </c>
      <c r="I11" s="86">
        <f t="shared" si="2"/>
        <v>0.62414714300353413</v>
      </c>
      <c r="J11" s="86">
        <f t="shared" si="2"/>
        <v>0.62843373268043867</v>
      </c>
      <c r="K11" s="86">
        <f t="shared" si="2"/>
        <v>0.63267108269563754</v>
      </c>
      <c r="L11" s="86">
        <f t="shared" si="2"/>
        <v>0.63686070139153472</v>
      </c>
      <c r="M11" s="86">
        <f t="shared" si="2"/>
        <v>0.64100236225214757</v>
      </c>
      <c r="N11" s="86">
        <f t="shared" si="2"/>
        <v>0.64509447706309297</v>
      </c>
      <c r="O11" s="86">
        <f t="shared" si="2"/>
        <v>0.64914355513640321</v>
      </c>
      <c r="P11" s="86">
        <f t="shared" si="2"/>
        <v>0.6531455706010092</v>
      </c>
      <c r="Q11" s="86">
        <f t="shared" si="2"/>
        <v>0.65710115817539871</v>
      </c>
      <c r="R11" s="86">
        <f t="shared" si="2"/>
        <v>0.6610093956974894</v>
      </c>
      <c r="S11" s="86">
        <f t="shared" si="2"/>
        <v>0.66487422253914319</v>
      </c>
      <c r="T11" s="86">
        <f t="shared" si="2"/>
        <v>0.66869465180184029</v>
      </c>
      <c r="U11" s="86">
        <f t="shared" si="2"/>
        <v>0.67247498436522823</v>
      </c>
      <c r="V11" s="86">
        <f t="shared" si="2"/>
        <v>0.67620836280872265</v>
      </c>
      <c r="W11" s="86">
        <f t="shared" si="2"/>
        <v>0.6798997122209659</v>
      </c>
      <c r="X11" s="86">
        <f t="shared" si="2"/>
        <v>0.68354931819703468</v>
      </c>
      <c r="Y11" s="86">
        <f t="shared" si="2"/>
        <v>0.68715860489450364</v>
      </c>
      <c r="Z11" s="86">
        <f t="shared" si="2"/>
        <v>0.6907253965255099</v>
      </c>
      <c r="AA11" s="86">
        <f t="shared" si="2"/>
        <v>0.69425055041520067</v>
      </c>
      <c r="AB11" s="86">
        <f t="shared" si="2"/>
        <v>0.69773781650114464</v>
      </c>
      <c r="AC11" s="86">
        <f t="shared" si="2"/>
        <v>0.70118266700227216</v>
      </c>
      <c r="AD11" s="86">
        <f t="shared" si="2"/>
        <v>0.70459046874789477</v>
      </c>
      <c r="AE11" s="86">
        <f t="shared" si="2"/>
        <v>0.70795894296013573</v>
      </c>
      <c r="AF11" s="86">
        <f t="shared" si="2"/>
        <v>0.71128824899097132</v>
      </c>
      <c r="AG11" s="86">
        <f t="shared" si="2"/>
        <v>0.71457901265830903</v>
      </c>
      <c r="AH11" s="86">
        <f t="shared" si="2"/>
        <v>0.7178329499934577</v>
      </c>
      <c r="AI11" s="86">
        <f t="shared" si="2"/>
        <v>0.72104901621779194</v>
      </c>
      <c r="AJ11" s="86">
        <f t="shared" si="2"/>
        <v>0.72422928451919222</v>
      </c>
      <c r="AK11" s="86">
        <f t="shared" si="2"/>
        <v>0.72737310320514259</v>
      </c>
      <c r="AL11" s="86">
        <f t="shared" si="2"/>
        <v>0.73048052590029433</v>
      </c>
      <c r="AM11" s="86">
        <f t="shared" si="2"/>
        <v>0.72179987004548407</v>
      </c>
      <c r="AN11" s="86">
        <f t="shared" si="2"/>
        <v>0.75404161928741609</v>
      </c>
    </row>
    <row r="12" spans="1:42" ht="18" customHeight="1">
      <c r="B12" s="77" t="s">
        <v>289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</row>
    <row r="13" spans="1:42" ht="15.75" customHeight="1">
      <c r="B13" s="36" t="s">
        <v>290</v>
      </c>
      <c r="C13" s="80">
        <v>35000</v>
      </c>
      <c r="D13" s="80">
        <v>35204</v>
      </c>
      <c r="E13" s="80">
        <v>35410</v>
      </c>
      <c r="F13" s="80">
        <v>35616</v>
      </c>
      <c r="G13" s="80">
        <v>35824</v>
      </c>
      <c r="H13" s="80">
        <v>36033</v>
      </c>
      <c r="I13" s="80">
        <v>36243</v>
      </c>
      <c r="J13" s="80">
        <v>36454</v>
      </c>
      <c r="K13" s="80">
        <v>36667</v>
      </c>
      <c r="L13" s="80">
        <v>36881</v>
      </c>
      <c r="M13" s="80">
        <v>37096</v>
      </c>
      <c r="N13" s="80">
        <v>37312</v>
      </c>
      <c r="O13" s="80">
        <v>37530</v>
      </c>
      <c r="P13" s="80">
        <v>37749</v>
      </c>
      <c r="Q13" s="80">
        <v>37969</v>
      </c>
      <c r="R13" s="80">
        <v>38191</v>
      </c>
      <c r="S13" s="80">
        <v>38414</v>
      </c>
      <c r="T13" s="80">
        <v>38638</v>
      </c>
      <c r="U13" s="80">
        <v>38863</v>
      </c>
      <c r="V13" s="80">
        <v>39090</v>
      </c>
      <c r="W13" s="80">
        <v>39318</v>
      </c>
      <c r="X13" s="80">
        <v>39547</v>
      </c>
      <c r="Y13" s="80">
        <v>39778</v>
      </c>
      <c r="Z13" s="80">
        <v>40010</v>
      </c>
      <c r="AA13" s="80">
        <v>40243</v>
      </c>
      <c r="AB13" s="80">
        <v>40478</v>
      </c>
      <c r="AC13" s="80">
        <v>40714</v>
      </c>
      <c r="AD13" s="80">
        <v>40952</v>
      </c>
      <c r="AE13" s="80">
        <v>41190</v>
      </c>
      <c r="AF13" s="80">
        <v>41431</v>
      </c>
      <c r="AG13" s="80">
        <v>41672</v>
      </c>
      <c r="AH13" s="80">
        <v>41916</v>
      </c>
      <c r="AI13" s="80">
        <v>42160</v>
      </c>
      <c r="AJ13" s="80">
        <v>42406</v>
      </c>
      <c r="AK13" s="80">
        <v>42653</v>
      </c>
      <c r="AL13" s="80">
        <v>42902</v>
      </c>
      <c r="AM13" s="80">
        <v>514518</v>
      </c>
      <c r="AN13" s="80">
        <v>550534</v>
      </c>
    </row>
    <row r="14" spans="1:42" ht="15.75" customHeight="1">
      <c r="B14" s="36" t="s">
        <v>291</v>
      </c>
      <c r="C14" s="80">
        <v>8000</v>
      </c>
      <c r="D14" s="80">
        <v>8027</v>
      </c>
      <c r="E14" s="80">
        <v>8053</v>
      </c>
      <c r="F14" s="80">
        <v>8080</v>
      </c>
      <c r="G14" s="80">
        <v>8107</v>
      </c>
      <c r="H14" s="80">
        <v>8134</v>
      </c>
      <c r="I14" s="80">
        <v>8161</v>
      </c>
      <c r="J14" s="80">
        <v>8189</v>
      </c>
      <c r="K14" s="80">
        <v>8216</v>
      </c>
      <c r="L14" s="80">
        <v>8243</v>
      </c>
      <c r="M14" s="80">
        <v>8271</v>
      </c>
      <c r="N14" s="80">
        <v>8298</v>
      </c>
      <c r="O14" s="80">
        <v>8326</v>
      </c>
      <c r="P14" s="80">
        <v>8354</v>
      </c>
      <c r="Q14" s="80">
        <v>8382</v>
      </c>
      <c r="R14" s="80">
        <v>8409</v>
      </c>
      <c r="S14" s="80">
        <v>8438</v>
      </c>
      <c r="T14" s="80">
        <v>8466</v>
      </c>
      <c r="U14" s="80">
        <v>8494</v>
      </c>
      <c r="V14" s="80">
        <v>8522</v>
      </c>
      <c r="W14" s="80">
        <v>8551</v>
      </c>
      <c r="X14" s="80">
        <v>8579</v>
      </c>
      <c r="Y14" s="80">
        <v>8608</v>
      </c>
      <c r="Z14" s="80">
        <v>8636</v>
      </c>
      <c r="AA14" s="80">
        <v>8665</v>
      </c>
      <c r="AB14" s="80">
        <v>8694</v>
      </c>
      <c r="AC14" s="80">
        <v>8723</v>
      </c>
      <c r="AD14" s="80">
        <v>8752</v>
      </c>
      <c r="AE14" s="80">
        <v>8781</v>
      </c>
      <c r="AF14" s="80">
        <v>8811</v>
      </c>
      <c r="AG14" s="80">
        <v>8840</v>
      </c>
      <c r="AH14" s="80">
        <v>8869</v>
      </c>
      <c r="AI14" s="80">
        <v>8899</v>
      </c>
      <c r="AJ14" s="80">
        <v>8929</v>
      </c>
      <c r="AK14" s="80">
        <v>8958</v>
      </c>
      <c r="AL14" s="80">
        <v>8988</v>
      </c>
      <c r="AM14" s="80">
        <v>107987</v>
      </c>
      <c r="AN14" s="80">
        <v>112306</v>
      </c>
    </row>
    <row r="15" spans="1:42" ht="15.75" customHeight="1">
      <c r="B15" s="36" t="s">
        <v>292</v>
      </c>
      <c r="C15" s="80">
        <v>5000</v>
      </c>
      <c r="D15" s="80">
        <v>5021</v>
      </c>
      <c r="E15" s="80">
        <v>5042</v>
      </c>
      <c r="F15" s="80">
        <v>5063</v>
      </c>
      <c r="G15" s="80">
        <v>5084</v>
      </c>
      <c r="H15" s="80">
        <v>5105</v>
      </c>
      <c r="I15" s="80">
        <v>5126</v>
      </c>
      <c r="J15" s="80">
        <v>5148</v>
      </c>
      <c r="K15" s="80">
        <v>5169</v>
      </c>
      <c r="L15" s="80">
        <v>5191</v>
      </c>
      <c r="M15" s="80">
        <v>5212</v>
      </c>
      <c r="N15" s="80">
        <v>5234</v>
      </c>
      <c r="O15" s="80">
        <v>5256</v>
      </c>
      <c r="P15" s="80">
        <v>5278</v>
      </c>
      <c r="Q15" s="80">
        <v>5300</v>
      </c>
      <c r="R15" s="80">
        <v>5322</v>
      </c>
      <c r="S15" s="80">
        <v>5344</v>
      </c>
      <c r="T15" s="80">
        <v>5366</v>
      </c>
      <c r="U15" s="80">
        <v>5389</v>
      </c>
      <c r="V15" s="80">
        <v>5411</v>
      </c>
      <c r="W15" s="80">
        <v>5434</v>
      </c>
      <c r="X15" s="80">
        <v>5456</v>
      </c>
      <c r="Y15" s="80">
        <v>5479</v>
      </c>
      <c r="Z15" s="80">
        <v>5502</v>
      </c>
      <c r="AA15" s="80">
        <v>5525</v>
      </c>
      <c r="AB15" s="80">
        <v>5548</v>
      </c>
      <c r="AC15" s="80">
        <v>5571</v>
      </c>
      <c r="AD15" s="80">
        <v>5594</v>
      </c>
      <c r="AE15" s="80">
        <v>5617</v>
      </c>
      <c r="AF15" s="80">
        <v>5641</v>
      </c>
      <c r="AG15" s="80">
        <v>5664</v>
      </c>
      <c r="AH15" s="80">
        <v>5688</v>
      </c>
      <c r="AI15" s="80">
        <v>5712</v>
      </c>
      <c r="AJ15" s="80">
        <v>5735</v>
      </c>
      <c r="AK15" s="80">
        <v>5759</v>
      </c>
      <c r="AL15" s="80">
        <v>5783</v>
      </c>
      <c r="AM15" s="80">
        <v>69458</v>
      </c>
      <c r="AN15" s="80">
        <v>72930</v>
      </c>
    </row>
    <row r="16" spans="1:42" ht="15.75" customHeight="1">
      <c r="B16" s="36" t="s">
        <v>293</v>
      </c>
      <c r="C16" s="80">
        <v>10000</v>
      </c>
      <c r="D16" s="80">
        <v>10042</v>
      </c>
      <c r="E16" s="80">
        <v>10084</v>
      </c>
      <c r="F16" s="80">
        <v>10126</v>
      </c>
      <c r="G16" s="80">
        <v>10168</v>
      </c>
      <c r="H16" s="80">
        <v>10210</v>
      </c>
      <c r="I16" s="80">
        <v>10253</v>
      </c>
      <c r="J16" s="80">
        <v>10295</v>
      </c>
      <c r="K16" s="80">
        <v>10338</v>
      </c>
      <c r="L16" s="80">
        <v>10381</v>
      </c>
      <c r="M16" s="80">
        <v>10425</v>
      </c>
      <c r="N16" s="80">
        <v>10468</v>
      </c>
      <c r="O16" s="80">
        <v>10512</v>
      </c>
      <c r="P16" s="80">
        <v>10555</v>
      </c>
      <c r="Q16" s="80">
        <v>10599</v>
      </c>
      <c r="R16" s="80">
        <v>10644</v>
      </c>
      <c r="S16" s="80">
        <v>10688</v>
      </c>
      <c r="T16" s="80">
        <v>10732</v>
      </c>
      <c r="U16" s="80">
        <v>10777</v>
      </c>
      <c r="V16" s="80">
        <v>10822</v>
      </c>
      <c r="W16" s="80">
        <v>10867</v>
      </c>
      <c r="X16" s="80">
        <v>10912</v>
      </c>
      <c r="Y16" s="80">
        <v>10958</v>
      </c>
      <c r="Z16" s="80">
        <v>11004</v>
      </c>
      <c r="AA16" s="80">
        <v>11049</v>
      </c>
      <c r="AB16" s="80">
        <v>11095</v>
      </c>
      <c r="AC16" s="80">
        <v>11142</v>
      </c>
      <c r="AD16" s="80">
        <v>11188</v>
      </c>
      <c r="AE16" s="80">
        <v>11235</v>
      </c>
      <c r="AF16" s="80">
        <v>11282</v>
      </c>
      <c r="AG16" s="80">
        <v>11329</v>
      </c>
      <c r="AH16" s="80">
        <v>11376</v>
      </c>
      <c r="AI16" s="80">
        <v>11423</v>
      </c>
      <c r="AJ16" s="80">
        <v>11471</v>
      </c>
      <c r="AK16" s="80">
        <v>11519</v>
      </c>
      <c r="AL16" s="80">
        <v>11567</v>
      </c>
      <c r="AM16" s="80">
        <v>138915</v>
      </c>
      <c r="AN16" s="80">
        <v>145861</v>
      </c>
    </row>
    <row r="17" spans="2:40" ht="15.75" customHeight="1">
      <c r="B17" s="36" t="s">
        <v>294</v>
      </c>
      <c r="C17" s="80">
        <v>8000</v>
      </c>
      <c r="D17" s="80">
        <v>8067</v>
      </c>
      <c r="E17" s="80">
        <v>8134</v>
      </c>
      <c r="F17" s="80">
        <v>8202</v>
      </c>
      <c r="G17" s="80">
        <v>8270</v>
      </c>
      <c r="H17" s="80">
        <v>8339</v>
      </c>
      <c r="I17" s="80">
        <v>8408</v>
      </c>
      <c r="J17" s="80">
        <v>8478</v>
      </c>
      <c r="K17" s="80">
        <v>8549</v>
      </c>
      <c r="L17" s="80">
        <v>8620</v>
      </c>
      <c r="M17" s="80">
        <v>8692</v>
      </c>
      <c r="N17" s="80">
        <v>8765</v>
      </c>
      <c r="O17" s="80">
        <v>8838</v>
      </c>
      <c r="P17" s="80">
        <v>8911</v>
      </c>
      <c r="Q17" s="80">
        <v>8986</v>
      </c>
      <c r="R17" s="80">
        <v>9060</v>
      </c>
      <c r="S17" s="80">
        <v>9136</v>
      </c>
      <c r="T17" s="80">
        <v>9212</v>
      </c>
      <c r="U17" s="80">
        <v>9289</v>
      </c>
      <c r="V17" s="80">
        <v>9366</v>
      </c>
      <c r="W17" s="80">
        <v>9444</v>
      </c>
      <c r="X17" s="80">
        <v>9523</v>
      </c>
      <c r="Y17" s="80">
        <v>9602</v>
      </c>
      <c r="Z17" s="80">
        <v>9682</v>
      </c>
      <c r="AA17" s="80">
        <v>9763</v>
      </c>
      <c r="AB17" s="80">
        <v>9844</v>
      </c>
      <c r="AC17" s="80">
        <v>9927</v>
      </c>
      <c r="AD17" s="80">
        <v>10009</v>
      </c>
      <c r="AE17" s="80">
        <v>10093</v>
      </c>
      <c r="AF17" s="80">
        <v>10177</v>
      </c>
      <c r="AG17" s="80">
        <v>10262</v>
      </c>
      <c r="AH17" s="80">
        <v>10347</v>
      </c>
      <c r="AI17" s="80">
        <v>10433</v>
      </c>
      <c r="AJ17" s="80">
        <v>10520</v>
      </c>
      <c r="AK17" s="80">
        <v>10608</v>
      </c>
      <c r="AL17" s="80">
        <v>10696</v>
      </c>
      <c r="AM17" s="80">
        <v>127776</v>
      </c>
      <c r="AN17" s="80">
        <v>140554</v>
      </c>
    </row>
    <row r="18" spans="2:40" ht="15.75" customHeight="1">
      <c r="B18" s="36" t="s">
        <v>295</v>
      </c>
      <c r="C18" s="80">
        <v>5000</v>
      </c>
      <c r="D18" s="80">
        <v>5021</v>
      </c>
      <c r="E18" s="80">
        <v>5042</v>
      </c>
      <c r="F18" s="80">
        <v>5063</v>
      </c>
      <c r="G18" s="80">
        <v>5084</v>
      </c>
      <c r="H18" s="80">
        <v>5105</v>
      </c>
      <c r="I18" s="80">
        <v>5126</v>
      </c>
      <c r="J18" s="80">
        <v>5148</v>
      </c>
      <c r="K18" s="80">
        <v>5169</v>
      </c>
      <c r="L18" s="80">
        <v>5191</v>
      </c>
      <c r="M18" s="80">
        <v>5212</v>
      </c>
      <c r="N18" s="80">
        <v>5234</v>
      </c>
      <c r="O18" s="80">
        <v>5256</v>
      </c>
      <c r="P18" s="80">
        <v>5278</v>
      </c>
      <c r="Q18" s="80">
        <v>5300</v>
      </c>
      <c r="R18" s="80">
        <v>5322</v>
      </c>
      <c r="S18" s="80">
        <v>5344</v>
      </c>
      <c r="T18" s="80">
        <v>5366</v>
      </c>
      <c r="U18" s="80">
        <v>5389</v>
      </c>
      <c r="V18" s="80">
        <v>5411</v>
      </c>
      <c r="W18" s="80">
        <v>5434</v>
      </c>
      <c r="X18" s="80">
        <v>5456</v>
      </c>
      <c r="Y18" s="80">
        <v>5479</v>
      </c>
      <c r="Z18" s="80">
        <v>5502</v>
      </c>
      <c r="AA18" s="80">
        <v>5525</v>
      </c>
      <c r="AB18" s="80">
        <v>5548</v>
      </c>
      <c r="AC18" s="80">
        <v>5571</v>
      </c>
      <c r="AD18" s="80">
        <v>5594</v>
      </c>
      <c r="AE18" s="80">
        <v>5617</v>
      </c>
      <c r="AF18" s="80">
        <v>5641</v>
      </c>
      <c r="AG18" s="80">
        <v>5664</v>
      </c>
      <c r="AH18" s="80">
        <v>5688</v>
      </c>
      <c r="AI18" s="80">
        <v>5712</v>
      </c>
      <c r="AJ18" s="80">
        <v>5735</v>
      </c>
      <c r="AK18" s="80">
        <v>5759</v>
      </c>
      <c r="AL18" s="80">
        <v>5783</v>
      </c>
      <c r="AM18" s="80">
        <v>69458</v>
      </c>
      <c r="AN18" s="80">
        <v>72930</v>
      </c>
    </row>
    <row r="19" spans="2:40" ht="15.75" customHeight="1">
      <c r="B19" s="36" t="s">
        <v>296</v>
      </c>
      <c r="C19" s="80">
        <v>4000</v>
      </c>
      <c r="D19" s="80">
        <v>4017</v>
      </c>
      <c r="E19" s="80">
        <v>4033</v>
      </c>
      <c r="F19" s="80">
        <v>4050</v>
      </c>
      <c r="G19" s="80">
        <v>4067</v>
      </c>
      <c r="H19" s="80">
        <v>4084</v>
      </c>
      <c r="I19" s="80">
        <v>4101</v>
      </c>
      <c r="J19" s="80">
        <v>4118</v>
      </c>
      <c r="K19" s="80">
        <v>4135</v>
      </c>
      <c r="L19" s="80">
        <v>4153</v>
      </c>
      <c r="M19" s="80">
        <v>4170</v>
      </c>
      <c r="N19" s="80">
        <v>4187</v>
      </c>
      <c r="O19" s="80">
        <v>4205</v>
      </c>
      <c r="P19" s="80">
        <v>4222</v>
      </c>
      <c r="Q19" s="80">
        <v>4240</v>
      </c>
      <c r="R19" s="80">
        <v>4257</v>
      </c>
      <c r="S19" s="80">
        <v>4275</v>
      </c>
      <c r="T19" s="80">
        <v>4293</v>
      </c>
      <c r="U19" s="80">
        <v>4311</v>
      </c>
      <c r="V19" s="80">
        <v>4329</v>
      </c>
      <c r="W19" s="80">
        <v>4347</v>
      </c>
      <c r="X19" s="80">
        <v>4365</v>
      </c>
      <c r="Y19" s="80">
        <v>4383</v>
      </c>
      <c r="Z19" s="80">
        <v>4401</v>
      </c>
      <c r="AA19" s="80">
        <v>4420</v>
      </c>
      <c r="AB19" s="80">
        <v>4438</v>
      </c>
      <c r="AC19" s="80">
        <v>4457</v>
      </c>
      <c r="AD19" s="80">
        <v>4475</v>
      </c>
      <c r="AE19" s="80">
        <v>4494</v>
      </c>
      <c r="AF19" s="80">
        <v>4513</v>
      </c>
      <c r="AG19" s="80">
        <v>4531</v>
      </c>
      <c r="AH19" s="80">
        <v>4550</v>
      </c>
      <c r="AI19" s="80">
        <v>4569</v>
      </c>
      <c r="AJ19" s="80">
        <v>4588</v>
      </c>
      <c r="AK19" s="80">
        <v>4607</v>
      </c>
      <c r="AL19" s="80">
        <v>4627</v>
      </c>
      <c r="AM19" s="80">
        <v>55566</v>
      </c>
      <c r="AN19" s="80">
        <v>58344</v>
      </c>
    </row>
    <row r="20" spans="2:40" ht="15.75" customHeight="1">
      <c r="B20" s="36" t="s">
        <v>297</v>
      </c>
      <c r="C20" s="80">
        <v>3000</v>
      </c>
      <c r="D20" s="80">
        <v>3012</v>
      </c>
      <c r="E20" s="80">
        <v>3025</v>
      </c>
      <c r="F20" s="80">
        <v>3038</v>
      </c>
      <c r="G20" s="80">
        <v>3050</v>
      </c>
      <c r="H20" s="80">
        <v>3063</v>
      </c>
      <c r="I20" s="80">
        <v>3076</v>
      </c>
      <c r="J20" s="80">
        <v>3089</v>
      </c>
      <c r="K20" s="80">
        <v>3101</v>
      </c>
      <c r="L20" s="80">
        <v>3114</v>
      </c>
      <c r="M20" s="80">
        <v>3127</v>
      </c>
      <c r="N20" s="80">
        <v>3140</v>
      </c>
      <c r="O20" s="80">
        <v>3153</v>
      </c>
      <c r="P20" s="80">
        <v>3167</v>
      </c>
      <c r="Q20" s="80">
        <v>3180</v>
      </c>
      <c r="R20" s="80">
        <v>3193</v>
      </c>
      <c r="S20" s="80">
        <v>3206</v>
      </c>
      <c r="T20" s="80">
        <v>3220</v>
      </c>
      <c r="U20" s="80">
        <v>3233</v>
      </c>
      <c r="V20" s="80">
        <v>3247</v>
      </c>
      <c r="W20" s="80">
        <v>3260</v>
      </c>
      <c r="X20" s="80">
        <v>3274</v>
      </c>
      <c r="Y20" s="80">
        <v>3287</v>
      </c>
      <c r="Z20" s="80">
        <v>3301</v>
      </c>
      <c r="AA20" s="80">
        <v>3315</v>
      </c>
      <c r="AB20" s="80">
        <v>3329</v>
      </c>
      <c r="AC20" s="80">
        <v>3343</v>
      </c>
      <c r="AD20" s="80">
        <v>3356</v>
      </c>
      <c r="AE20" s="80">
        <v>3370</v>
      </c>
      <c r="AF20" s="80">
        <v>3384</v>
      </c>
      <c r="AG20" s="80">
        <v>3399</v>
      </c>
      <c r="AH20" s="80">
        <v>3413</v>
      </c>
      <c r="AI20" s="80">
        <v>3427</v>
      </c>
      <c r="AJ20" s="80">
        <v>3441</v>
      </c>
      <c r="AK20" s="80">
        <v>3456</v>
      </c>
      <c r="AL20" s="80">
        <v>3470</v>
      </c>
      <c r="AM20" s="80">
        <v>41675</v>
      </c>
      <c r="AN20" s="80">
        <v>43758</v>
      </c>
    </row>
    <row r="21" spans="2:40" ht="18" customHeight="1">
      <c r="B21" s="87" t="s">
        <v>298</v>
      </c>
      <c r="C21" s="83">
        <f t="shared" ref="C21:AN21" si="3">C13+C14+C15+C16+C17+C18+C19+C20</f>
        <v>78000</v>
      </c>
      <c r="D21" s="83">
        <f t="shared" si="3"/>
        <v>78411</v>
      </c>
      <c r="E21" s="83">
        <f t="shared" si="3"/>
        <v>78823</v>
      </c>
      <c r="F21" s="83">
        <f t="shared" si="3"/>
        <v>79238</v>
      </c>
      <c r="G21" s="83">
        <f t="shared" si="3"/>
        <v>79654</v>
      </c>
      <c r="H21" s="83">
        <f t="shared" si="3"/>
        <v>80073</v>
      </c>
      <c r="I21" s="83">
        <f t="shared" si="3"/>
        <v>80494</v>
      </c>
      <c r="J21" s="83">
        <f t="shared" si="3"/>
        <v>80919</v>
      </c>
      <c r="K21" s="83">
        <f t="shared" si="3"/>
        <v>81344</v>
      </c>
      <c r="L21" s="83">
        <f t="shared" si="3"/>
        <v>81774</v>
      </c>
      <c r="M21" s="83">
        <f t="shared" si="3"/>
        <v>82205</v>
      </c>
      <c r="N21" s="83">
        <f t="shared" si="3"/>
        <v>82638</v>
      </c>
      <c r="O21" s="83">
        <f t="shared" si="3"/>
        <v>83076</v>
      </c>
      <c r="P21" s="83">
        <f t="shared" si="3"/>
        <v>83514</v>
      </c>
      <c r="Q21" s="83">
        <f t="shared" si="3"/>
        <v>83956</v>
      </c>
      <c r="R21" s="83">
        <f t="shared" si="3"/>
        <v>84398</v>
      </c>
      <c r="S21" s="83">
        <f t="shared" si="3"/>
        <v>84845</v>
      </c>
      <c r="T21" s="83">
        <f t="shared" si="3"/>
        <v>85293</v>
      </c>
      <c r="U21" s="83">
        <f t="shared" si="3"/>
        <v>85745</v>
      </c>
      <c r="V21" s="83">
        <f t="shared" si="3"/>
        <v>86198</v>
      </c>
      <c r="W21" s="83">
        <f t="shared" si="3"/>
        <v>86655</v>
      </c>
      <c r="X21" s="83">
        <f t="shared" si="3"/>
        <v>87112</v>
      </c>
      <c r="Y21" s="83">
        <f t="shared" si="3"/>
        <v>87574</v>
      </c>
      <c r="Z21" s="83">
        <f t="shared" si="3"/>
        <v>88038</v>
      </c>
      <c r="AA21" s="83">
        <f t="shared" si="3"/>
        <v>88505</v>
      </c>
      <c r="AB21" s="83">
        <f t="shared" si="3"/>
        <v>88974</v>
      </c>
      <c r="AC21" s="83">
        <f t="shared" si="3"/>
        <v>89448</v>
      </c>
      <c r="AD21" s="83">
        <f t="shared" si="3"/>
        <v>89920</v>
      </c>
      <c r="AE21" s="83">
        <f t="shared" si="3"/>
        <v>90397</v>
      </c>
      <c r="AF21" s="83">
        <f t="shared" si="3"/>
        <v>90880</v>
      </c>
      <c r="AG21" s="83">
        <f t="shared" si="3"/>
        <v>91361</v>
      </c>
      <c r="AH21" s="83">
        <f t="shared" si="3"/>
        <v>91847</v>
      </c>
      <c r="AI21" s="83">
        <f t="shared" si="3"/>
        <v>92335</v>
      </c>
      <c r="AJ21" s="83">
        <f t="shared" si="3"/>
        <v>92825</v>
      </c>
      <c r="AK21" s="83">
        <f t="shared" si="3"/>
        <v>93319</v>
      </c>
      <c r="AL21" s="83">
        <f t="shared" si="3"/>
        <v>93816</v>
      </c>
      <c r="AM21" s="83">
        <f t="shared" si="3"/>
        <v>1125353</v>
      </c>
      <c r="AN21" s="83">
        <f t="shared" si="3"/>
        <v>1197217</v>
      </c>
    </row>
    <row r="22" spans="2:40" ht="18" customHeight="1">
      <c r="B22" s="87" t="s">
        <v>299</v>
      </c>
      <c r="C22" s="88">
        <f t="shared" ref="C22:AN22" si="4">C10-C21</f>
        <v>149000</v>
      </c>
      <c r="D22" s="88">
        <f t="shared" si="4"/>
        <v>154147</v>
      </c>
      <c r="E22" s="88">
        <f t="shared" si="4"/>
        <v>159393</v>
      </c>
      <c r="F22" s="88">
        <f t="shared" si="4"/>
        <v>164741</v>
      </c>
      <c r="G22" s="88">
        <f t="shared" si="4"/>
        <v>170192</v>
      </c>
      <c r="H22" s="88">
        <f t="shared" si="4"/>
        <v>175748</v>
      </c>
      <c r="I22" s="88">
        <f t="shared" si="4"/>
        <v>181410</v>
      </c>
      <c r="J22" s="88">
        <f t="shared" si="4"/>
        <v>187179</v>
      </c>
      <c r="K22" s="88">
        <f t="shared" si="4"/>
        <v>193060</v>
      </c>
      <c r="L22" s="88">
        <f t="shared" si="4"/>
        <v>199051</v>
      </c>
      <c r="M22" s="88">
        <f t="shared" si="4"/>
        <v>205157</v>
      </c>
      <c r="N22" s="88">
        <f t="shared" si="4"/>
        <v>211378</v>
      </c>
      <c r="O22" s="88">
        <f t="shared" si="4"/>
        <v>217717</v>
      </c>
      <c r="P22" s="88">
        <f t="shared" si="4"/>
        <v>224177</v>
      </c>
      <c r="Q22" s="88">
        <f t="shared" si="4"/>
        <v>230758</v>
      </c>
      <c r="R22" s="88">
        <f t="shared" si="4"/>
        <v>237464</v>
      </c>
      <c r="S22" s="88">
        <f t="shared" si="4"/>
        <v>244295</v>
      </c>
      <c r="T22" s="88">
        <f t="shared" si="4"/>
        <v>251255</v>
      </c>
      <c r="U22" s="88">
        <f t="shared" si="4"/>
        <v>258347</v>
      </c>
      <c r="V22" s="88">
        <f t="shared" si="4"/>
        <v>265571</v>
      </c>
      <c r="W22" s="88">
        <f t="shared" si="4"/>
        <v>272929</v>
      </c>
      <c r="X22" s="88">
        <f t="shared" si="4"/>
        <v>280427</v>
      </c>
      <c r="Y22" s="88">
        <f t="shared" si="4"/>
        <v>288064</v>
      </c>
      <c r="Z22" s="88">
        <f t="shared" si="4"/>
        <v>295843</v>
      </c>
      <c r="AA22" s="88">
        <f t="shared" si="4"/>
        <v>303766</v>
      </c>
      <c r="AB22" s="88">
        <f t="shared" si="4"/>
        <v>311838</v>
      </c>
      <c r="AC22" s="88">
        <f t="shared" si="4"/>
        <v>320056</v>
      </c>
      <c r="AD22" s="88">
        <f t="shared" si="4"/>
        <v>328432</v>
      </c>
      <c r="AE22" s="88">
        <f t="shared" si="4"/>
        <v>336961</v>
      </c>
      <c r="AF22" s="88">
        <f t="shared" si="4"/>
        <v>345644</v>
      </c>
      <c r="AG22" s="88">
        <f t="shared" si="4"/>
        <v>354492</v>
      </c>
      <c r="AH22" s="88">
        <f t="shared" si="4"/>
        <v>363501</v>
      </c>
      <c r="AI22" s="88">
        <f t="shared" si="4"/>
        <v>372676</v>
      </c>
      <c r="AJ22" s="88">
        <f t="shared" si="4"/>
        <v>382021</v>
      </c>
      <c r="AK22" s="88">
        <f t="shared" si="4"/>
        <v>391537</v>
      </c>
      <c r="AL22" s="88">
        <f t="shared" si="4"/>
        <v>401227</v>
      </c>
      <c r="AM22" s="88">
        <f t="shared" si="4"/>
        <v>4562199</v>
      </c>
      <c r="AN22" s="88">
        <f t="shared" si="4"/>
        <v>5932711</v>
      </c>
    </row>
    <row r="23" spans="2:40" ht="15.75" customHeight="1">
      <c r="B23" s="36" t="s">
        <v>300</v>
      </c>
      <c r="C23" s="89">
        <f t="shared" ref="C23:AN23" si="5">IFERROR(C22/C4,0)</f>
        <v>0.39210526315789473</v>
      </c>
      <c r="D23" s="89">
        <f t="shared" si="5"/>
        <v>0.39900034426259212</v>
      </c>
      <c r="E23" s="89">
        <f t="shared" si="5"/>
        <v>0.40581558766918213</v>
      </c>
      <c r="F23" s="89">
        <f t="shared" si="5"/>
        <v>0.41255590782283796</v>
      </c>
      <c r="G23" s="89">
        <f t="shared" si="5"/>
        <v>0.41921896476129011</v>
      </c>
      <c r="H23" s="89">
        <f t="shared" si="5"/>
        <v>0.4258080147308233</v>
      </c>
      <c r="I23" s="89">
        <f t="shared" si="5"/>
        <v>0.43232074810721155</v>
      </c>
      <c r="J23" s="89">
        <f t="shared" si="5"/>
        <v>0.43875596852416593</v>
      </c>
      <c r="K23" s="89">
        <f t="shared" si="5"/>
        <v>0.44512280879731997</v>
      </c>
      <c r="L23" s="89">
        <f t="shared" si="5"/>
        <v>0.45141194506431537</v>
      </c>
      <c r="M23" s="89">
        <f t="shared" si="5"/>
        <v>0.45763226046785532</v>
      </c>
      <c r="N23" s="89">
        <f t="shared" si="5"/>
        <v>0.46378013568187604</v>
      </c>
      <c r="O23" s="89">
        <f t="shared" si="5"/>
        <v>0.4698566369351424</v>
      </c>
      <c r="P23" s="89">
        <f t="shared" si="5"/>
        <v>0.47586771982483217</v>
      </c>
      <c r="Q23" s="89">
        <f t="shared" si="5"/>
        <v>0.48180681208411019</v>
      </c>
      <c r="R23" s="89">
        <f t="shared" si="5"/>
        <v>0.4876808543410176</v>
      </c>
      <c r="S23" s="89">
        <f t="shared" si="5"/>
        <v>0.4934843780616151</v>
      </c>
      <c r="T23" s="89">
        <f t="shared" si="5"/>
        <v>0.49922410692819857</v>
      </c>
      <c r="U23" s="89">
        <f t="shared" si="5"/>
        <v>0.50489954659161973</v>
      </c>
      <c r="V23" s="89">
        <f t="shared" si="5"/>
        <v>0.51050925783532741</v>
      </c>
      <c r="W23" s="89">
        <f t="shared" si="5"/>
        <v>0.51605285150828739</v>
      </c>
      <c r="X23" s="89">
        <f t="shared" si="5"/>
        <v>0.52153835281164684</v>
      </c>
      <c r="Y23" s="89">
        <f t="shared" si="5"/>
        <v>0.5269585514786318</v>
      </c>
      <c r="Z23" s="89">
        <f t="shared" si="5"/>
        <v>0.53231671659784263</v>
      </c>
      <c r="AA23" s="89">
        <f t="shared" si="5"/>
        <v>0.53761229531987798</v>
      </c>
      <c r="AB23" s="89">
        <f t="shared" si="5"/>
        <v>0.54285092567608739</v>
      </c>
      <c r="AC23" s="89">
        <f t="shared" si="5"/>
        <v>0.54802326636633392</v>
      </c>
      <c r="AD23" s="89">
        <f t="shared" si="5"/>
        <v>0.55314676834772769</v>
      </c>
      <c r="AE23" s="89">
        <f t="shared" si="5"/>
        <v>0.55820776346480072</v>
      </c>
      <c r="AF23" s="89">
        <f t="shared" si="5"/>
        <v>0.56320503691488966</v>
      </c>
      <c r="AG23" s="89">
        <f t="shared" si="5"/>
        <v>0.56815260490625674</v>
      </c>
      <c r="AH23" s="89">
        <f t="shared" si="5"/>
        <v>0.57304082845553705</v>
      </c>
      <c r="AI23" s="89">
        <f t="shared" si="5"/>
        <v>0.57787377754070735</v>
      </c>
      <c r="AJ23" s="89">
        <f t="shared" si="5"/>
        <v>0.58265373510844842</v>
      </c>
      <c r="AK23" s="89">
        <f t="shared" si="5"/>
        <v>0.58737745373808292</v>
      </c>
      <c r="AL23" s="89">
        <f t="shared" si="5"/>
        <v>0.59204656962202762</v>
      </c>
      <c r="AM23" s="89">
        <f t="shared" si="5"/>
        <v>0.57898277595029235</v>
      </c>
      <c r="AN23" s="89">
        <f t="shared" si="5"/>
        <v>0.62742723477772366</v>
      </c>
    </row>
    <row r="24" spans="2:40" ht="15.75" customHeight="1">
      <c r="B24" s="36" t="s">
        <v>301</v>
      </c>
      <c r="C24" s="80">
        <v>18000</v>
      </c>
      <c r="D24" s="80">
        <v>18000</v>
      </c>
      <c r="E24" s="80">
        <v>18000</v>
      </c>
      <c r="F24" s="80">
        <v>18000</v>
      </c>
      <c r="G24" s="80">
        <v>18000</v>
      </c>
      <c r="H24" s="80">
        <v>18000</v>
      </c>
      <c r="I24" s="80">
        <v>18000</v>
      </c>
      <c r="J24" s="80">
        <v>18000</v>
      </c>
      <c r="K24" s="80">
        <v>18000</v>
      </c>
      <c r="L24" s="80">
        <v>18000</v>
      </c>
      <c r="M24" s="80">
        <v>18000</v>
      </c>
      <c r="N24" s="80">
        <v>18000</v>
      </c>
      <c r="O24" s="80">
        <v>18000</v>
      </c>
      <c r="P24" s="80">
        <v>18000</v>
      </c>
      <c r="Q24" s="80">
        <v>18000</v>
      </c>
      <c r="R24" s="80">
        <v>18000</v>
      </c>
      <c r="S24" s="80">
        <v>18000</v>
      </c>
      <c r="T24" s="80">
        <v>18000</v>
      </c>
      <c r="U24" s="80">
        <v>18000</v>
      </c>
      <c r="V24" s="80">
        <v>18000</v>
      </c>
      <c r="W24" s="80">
        <v>18000</v>
      </c>
      <c r="X24" s="80">
        <v>18000</v>
      </c>
      <c r="Y24" s="80">
        <v>18000</v>
      </c>
      <c r="Z24" s="80">
        <v>18000</v>
      </c>
      <c r="AA24" s="80">
        <v>18000</v>
      </c>
      <c r="AB24" s="80">
        <v>18000</v>
      </c>
      <c r="AC24" s="80">
        <v>18000</v>
      </c>
      <c r="AD24" s="80">
        <v>18000</v>
      </c>
      <c r="AE24" s="80">
        <v>18000</v>
      </c>
      <c r="AF24" s="80">
        <v>18000</v>
      </c>
      <c r="AG24" s="80">
        <v>18000</v>
      </c>
      <c r="AH24" s="80">
        <v>18000</v>
      </c>
      <c r="AI24" s="80">
        <v>18000</v>
      </c>
      <c r="AJ24" s="80">
        <v>18000</v>
      </c>
      <c r="AK24" s="80">
        <v>18000</v>
      </c>
      <c r="AL24" s="80">
        <v>18000</v>
      </c>
      <c r="AM24" s="80">
        <v>216000</v>
      </c>
      <c r="AN24" s="80">
        <v>216000</v>
      </c>
    </row>
    <row r="25" spans="2:40" ht="18" customHeight="1">
      <c r="B25" s="87" t="s">
        <v>302</v>
      </c>
      <c r="C25" s="83">
        <f t="shared" ref="C25:AN25" si="6">C22-C24</f>
        <v>131000</v>
      </c>
      <c r="D25" s="83">
        <f t="shared" si="6"/>
        <v>136147</v>
      </c>
      <c r="E25" s="83">
        <f t="shared" si="6"/>
        <v>141393</v>
      </c>
      <c r="F25" s="83">
        <f t="shared" si="6"/>
        <v>146741</v>
      </c>
      <c r="G25" s="83">
        <f t="shared" si="6"/>
        <v>152192</v>
      </c>
      <c r="H25" s="83">
        <f t="shared" si="6"/>
        <v>157748</v>
      </c>
      <c r="I25" s="83">
        <f t="shared" si="6"/>
        <v>163410</v>
      </c>
      <c r="J25" s="83">
        <f t="shared" si="6"/>
        <v>169179</v>
      </c>
      <c r="K25" s="83">
        <f t="shared" si="6"/>
        <v>175060</v>
      </c>
      <c r="L25" s="83">
        <f t="shared" si="6"/>
        <v>181051</v>
      </c>
      <c r="M25" s="83">
        <f t="shared" si="6"/>
        <v>187157</v>
      </c>
      <c r="N25" s="83">
        <f t="shared" si="6"/>
        <v>193378</v>
      </c>
      <c r="O25" s="83">
        <f t="shared" si="6"/>
        <v>199717</v>
      </c>
      <c r="P25" s="83">
        <f t="shared" si="6"/>
        <v>206177</v>
      </c>
      <c r="Q25" s="83">
        <f t="shared" si="6"/>
        <v>212758</v>
      </c>
      <c r="R25" s="83">
        <f t="shared" si="6"/>
        <v>219464</v>
      </c>
      <c r="S25" s="83">
        <f t="shared" si="6"/>
        <v>226295</v>
      </c>
      <c r="T25" s="83">
        <f t="shared" si="6"/>
        <v>233255</v>
      </c>
      <c r="U25" s="83">
        <f t="shared" si="6"/>
        <v>240347</v>
      </c>
      <c r="V25" s="83">
        <f t="shared" si="6"/>
        <v>247571</v>
      </c>
      <c r="W25" s="83">
        <f t="shared" si="6"/>
        <v>254929</v>
      </c>
      <c r="X25" s="83">
        <f t="shared" si="6"/>
        <v>262427</v>
      </c>
      <c r="Y25" s="83">
        <f t="shared" si="6"/>
        <v>270064</v>
      </c>
      <c r="Z25" s="83">
        <f t="shared" si="6"/>
        <v>277843</v>
      </c>
      <c r="AA25" s="83">
        <f t="shared" si="6"/>
        <v>285766</v>
      </c>
      <c r="AB25" s="83">
        <f t="shared" si="6"/>
        <v>293838</v>
      </c>
      <c r="AC25" s="83">
        <f t="shared" si="6"/>
        <v>302056</v>
      </c>
      <c r="AD25" s="83">
        <f t="shared" si="6"/>
        <v>310432</v>
      </c>
      <c r="AE25" s="83">
        <f t="shared" si="6"/>
        <v>318961</v>
      </c>
      <c r="AF25" s="83">
        <f t="shared" si="6"/>
        <v>327644</v>
      </c>
      <c r="AG25" s="83">
        <f t="shared" si="6"/>
        <v>336492</v>
      </c>
      <c r="AH25" s="83">
        <f t="shared" si="6"/>
        <v>345501</v>
      </c>
      <c r="AI25" s="83">
        <f t="shared" si="6"/>
        <v>354676</v>
      </c>
      <c r="AJ25" s="83">
        <f t="shared" si="6"/>
        <v>364021</v>
      </c>
      <c r="AK25" s="83">
        <f t="shared" si="6"/>
        <v>373537</v>
      </c>
      <c r="AL25" s="83">
        <f t="shared" si="6"/>
        <v>383227</v>
      </c>
      <c r="AM25" s="83">
        <f t="shared" si="6"/>
        <v>4346199</v>
      </c>
      <c r="AN25" s="83">
        <f t="shared" si="6"/>
        <v>5716711</v>
      </c>
    </row>
    <row r="26" spans="2:40" ht="15.75" customHeight="1">
      <c r="B26" s="36" t="s">
        <v>303</v>
      </c>
    </row>
    <row r="27" spans="2:40" ht="18" customHeight="1">
      <c r="B27" s="87" t="s">
        <v>304</v>
      </c>
      <c r="C27" s="90">
        <f t="shared" ref="C27:AN27" si="7">C25-C26</f>
        <v>131000</v>
      </c>
      <c r="D27" s="90">
        <f t="shared" si="7"/>
        <v>136147</v>
      </c>
      <c r="E27" s="90">
        <f t="shared" si="7"/>
        <v>141393</v>
      </c>
      <c r="F27" s="90">
        <f t="shared" si="7"/>
        <v>146741</v>
      </c>
      <c r="G27" s="90">
        <f t="shared" si="7"/>
        <v>152192</v>
      </c>
      <c r="H27" s="90">
        <f t="shared" si="7"/>
        <v>157748</v>
      </c>
      <c r="I27" s="90">
        <f t="shared" si="7"/>
        <v>163410</v>
      </c>
      <c r="J27" s="90">
        <f t="shared" si="7"/>
        <v>169179</v>
      </c>
      <c r="K27" s="90">
        <f t="shared" si="7"/>
        <v>175060</v>
      </c>
      <c r="L27" s="90">
        <f t="shared" si="7"/>
        <v>181051</v>
      </c>
      <c r="M27" s="90">
        <f t="shared" si="7"/>
        <v>187157</v>
      </c>
      <c r="N27" s="90">
        <f t="shared" si="7"/>
        <v>193378</v>
      </c>
      <c r="O27" s="90">
        <f t="shared" si="7"/>
        <v>199717</v>
      </c>
      <c r="P27" s="90">
        <f t="shared" si="7"/>
        <v>206177</v>
      </c>
      <c r="Q27" s="90">
        <f t="shared" si="7"/>
        <v>212758</v>
      </c>
      <c r="R27" s="90">
        <f t="shared" si="7"/>
        <v>219464</v>
      </c>
      <c r="S27" s="90">
        <f t="shared" si="7"/>
        <v>226295</v>
      </c>
      <c r="T27" s="90">
        <f t="shared" si="7"/>
        <v>233255</v>
      </c>
      <c r="U27" s="90">
        <f t="shared" si="7"/>
        <v>240347</v>
      </c>
      <c r="V27" s="90">
        <f t="shared" si="7"/>
        <v>247571</v>
      </c>
      <c r="W27" s="90">
        <f t="shared" si="7"/>
        <v>254929</v>
      </c>
      <c r="X27" s="90">
        <f t="shared" si="7"/>
        <v>262427</v>
      </c>
      <c r="Y27" s="90">
        <f t="shared" si="7"/>
        <v>270064</v>
      </c>
      <c r="Z27" s="90">
        <f t="shared" si="7"/>
        <v>277843</v>
      </c>
      <c r="AA27" s="90">
        <f t="shared" si="7"/>
        <v>285766</v>
      </c>
      <c r="AB27" s="90">
        <f t="shared" si="7"/>
        <v>293838</v>
      </c>
      <c r="AC27" s="90">
        <f t="shared" si="7"/>
        <v>302056</v>
      </c>
      <c r="AD27" s="90">
        <f t="shared" si="7"/>
        <v>310432</v>
      </c>
      <c r="AE27" s="90">
        <f t="shared" si="7"/>
        <v>318961</v>
      </c>
      <c r="AF27" s="90">
        <f t="shared" si="7"/>
        <v>327644</v>
      </c>
      <c r="AG27" s="90">
        <f t="shared" si="7"/>
        <v>336492</v>
      </c>
      <c r="AH27" s="90">
        <f t="shared" si="7"/>
        <v>345501</v>
      </c>
      <c r="AI27" s="90">
        <f t="shared" si="7"/>
        <v>354676</v>
      </c>
      <c r="AJ27" s="90">
        <f t="shared" si="7"/>
        <v>364021</v>
      </c>
      <c r="AK27" s="90">
        <f t="shared" si="7"/>
        <v>373537</v>
      </c>
      <c r="AL27" s="90">
        <f t="shared" si="7"/>
        <v>383227</v>
      </c>
      <c r="AM27" s="90">
        <f t="shared" si="7"/>
        <v>4346199</v>
      </c>
      <c r="AN27" s="90">
        <f t="shared" si="7"/>
        <v>5716711</v>
      </c>
    </row>
    <row r="28" spans="2:40" ht="15.75" customHeight="1">
      <c r="B28" s="36" t="s">
        <v>305</v>
      </c>
      <c r="C28" s="91">
        <f t="shared" ref="C28:AN28" si="8">IFERROR(MAX(C27*0.2,0),0)</f>
        <v>26200</v>
      </c>
      <c r="D28" s="91">
        <f t="shared" si="8"/>
        <v>27229.4</v>
      </c>
      <c r="E28" s="91">
        <f t="shared" si="8"/>
        <v>28278.600000000002</v>
      </c>
      <c r="F28" s="91">
        <f t="shared" si="8"/>
        <v>29348.2</v>
      </c>
      <c r="G28" s="91">
        <f t="shared" si="8"/>
        <v>30438.400000000001</v>
      </c>
      <c r="H28" s="91">
        <f t="shared" si="8"/>
        <v>31549.600000000002</v>
      </c>
      <c r="I28" s="91">
        <f t="shared" si="8"/>
        <v>32682</v>
      </c>
      <c r="J28" s="91">
        <f t="shared" si="8"/>
        <v>33835.800000000003</v>
      </c>
      <c r="K28" s="91">
        <f t="shared" si="8"/>
        <v>35012</v>
      </c>
      <c r="L28" s="91">
        <f t="shared" si="8"/>
        <v>36210.200000000004</v>
      </c>
      <c r="M28" s="91">
        <f t="shared" si="8"/>
        <v>37431.4</v>
      </c>
      <c r="N28" s="91">
        <f t="shared" si="8"/>
        <v>38675.599999999999</v>
      </c>
      <c r="O28" s="91">
        <f t="shared" si="8"/>
        <v>39943.4</v>
      </c>
      <c r="P28" s="91">
        <f t="shared" si="8"/>
        <v>41235.4</v>
      </c>
      <c r="Q28" s="91">
        <f t="shared" si="8"/>
        <v>42551.600000000006</v>
      </c>
      <c r="R28" s="91">
        <f t="shared" si="8"/>
        <v>43892.800000000003</v>
      </c>
      <c r="S28" s="91">
        <f t="shared" si="8"/>
        <v>45259</v>
      </c>
      <c r="T28" s="91">
        <f t="shared" si="8"/>
        <v>46651</v>
      </c>
      <c r="U28" s="91">
        <f t="shared" si="8"/>
        <v>48069.4</v>
      </c>
      <c r="V28" s="91">
        <f t="shared" si="8"/>
        <v>49514.200000000004</v>
      </c>
      <c r="W28" s="91">
        <f t="shared" si="8"/>
        <v>50985.8</v>
      </c>
      <c r="X28" s="91">
        <f t="shared" si="8"/>
        <v>52485.4</v>
      </c>
      <c r="Y28" s="91">
        <f t="shared" si="8"/>
        <v>54012.800000000003</v>
      </c>
      <c r="Z28" s="91">
        <f t="shared" si="8"/>
        <v>55568.600000000006</v>
      </c>
      <c r="AA28" s="91">
        <f t="shared" si="8"/>
        <v>57153.200000000004</v>
      </c>
      <c r="AB28" s="91">
        <f t="shared" si="8"/>
        <v>58767.600000000006</v>
      </c>
      <c r="AC28" s="91">
        <f t="shared" si="8"/>
        <v>60411.200000000004</v>
      </c>
      <c r="AD28" s="91">
        <f t="shared" si="8"/>
        <v>62086.400000000001</v>
      </c>
      <c r="AE28" s="91">
        <f t="shared" si="8"/>
        <v>63792.200000000004</v>
      </c>
      <c r="AF28" s="91">
        <f t="shared" si="8"/>
        <v>65528.800000000003</v>
      </c>
      <c r="AG28" s="91">
        <f t="shared" si="8"/>
        <v>67298.400000000009</v>
      </c>
      <c r="AH28" s="91">
        <f t="shared" si="8"/>
        <v>69100.2</v>
      </c>
      <c r="AI28" s="91">
        <f t="shared" si="8"/>
        <v>70935.199999999997</v>
      </c>
      <c r="AJ28" s="91">
        <f t="shared" si="8"/>
        <v>72804.2</v>
      </c>
      <c r="AK28" s="91">
        <f t="shared" si="8"/>
        <v>74707.400000000009</v>
      </c>
      <c r="AL28" s="91">
        <f t="shared" si="8"/>
        <v>76645.400000000009</v>
      </c>
      <c r="AM28" s="91">
        <f t="shared" si="8"/>
        <v>869239.8</v>
      </c>
      <c r="AN28" s="91">
        <f t="shared" si="8"/>
        <v>1143342.2</v>
      </c>
    </row>
    <row r="29" spans="2:40" ht="18" customHeight="1">
      <c r="B29" s="87" t="s">
        <v>306</v>
      </c>
      <c r="C29" s="88">
        <f t="shared" ref="C29:AN29" si="9">C27-C28</f>
        <v>104800</v>
      </c>
      <c r="D29" s="88">
        <f t="shared" si="9"/>
        <v>108917.6</v>
      </c>
      <c r="E29" s="88">
        <f t="shared" si="9"/>
        <v>113114.4</v>
      </c>
      <c r="F29" s="88">
        <f t="shared" si="9"/>
        <v>117392.8</v>
      </c>
      <c r="G29" s="88">
        <f t="shared" si="9"/>
        <v>121753.60000000001</v>
      </c>
      <c r="H29" s="88">
        <f t="shared" si="9"/>
        <v>126198.39999999999</v>
      </c>
      <c r="I29" s="88">
        <f t="shared" si="9"/>
        <v>130728</v>
      </c>
      <c r="J29" s="88">
        <f t="shared" si="9"/>
        <v>135343.20000000001</v>
      </c>
      <c r="K29" s="88">
        <f t="shared" si="9"/>
        <v>140048</v>
      </c>
      <c r="L29" s="88">
        <f t="shared" si="9"/>
        <v>144840.79999999999</v>
      </c>
      <c r="M29" s="88">
        <f t="shared" si="9"/>
        <v>149725.6</v>
      </c>
      <c r="N29" s="88">
        <f t="shared" si="9"/>
        <v>154702.39999999999</v>
      </c>
      <c r="O29" s="88">
        <f t="shared" si="9"/>
        <v>159773.6</v>
      </c>
      <c r="P29" s="88">
        <f t="shared" si="9"/>
        <v>164941.6</v>
      </c>
      <c r="Q29" s="88">
        <f t="shared" si="9"/>
        <v>170206.4</v>
      </c>
      <c r="R29" s="88">
        <f t="shared" si="9"/>
        <v>175571.20000000001</v>
      </c>
      <c r="S29" s="88">
        <f t="shared" si="9"/>
        <v>181036</v>
      </c>
      <c r="T29" s="88">
        <f t="shared" si="9"/>
        <v>186604</v>
      </c>
      <c r="U29" s="88">
        <f t="shared" si="9"/>
        <v>192277.6</v>
      </c>
      <c r="V29" s="88">
        <f t="shared" si="9"/>
        <v>198056.8</v>
      </c>
      <c r="W29" s="88">
        <f t="shared" si="9"/>
        <v>203943.2</v>
      </c>
      <c r="X29" s="88">
        <f t="shared" si="9"/>
        <v>209941.6</v>
      </c>
      <c r="Y29" s="88">
        <f t="shared" si="9"/>
        <v>216051.20000000001</v>
      </c>
      <c r="Z29" s="88">
        <f t="shared" si="9"/>
        <v>222274.4</v>
      </c>
      <c r="AA29" s="88">
        <f t="shared" si="9"/>
        <v>228612.8</v>
      </c>
      <c r="AB29" s="88">
        <f t="shared" si="9"/>
        <v>235070.4</v>
      </c>
      <c r="AC29" s="88">
        <f t="shared" si="9"/>
        <v>241644.79999999999</v>
      </c>
      <c r="AD29" s="88">
        <f t="shared" si="9"/>
        <v>248345.60000000001</v>
      </c>
      <c r="AE29" s="88">
        <f t="shared" si="9"/>
        <v>255168.8</v>
      </c>
      <c r="AF29" s="88">
        <f t="shared" si="9"/>
        <v>262115.20000000001</v>
      </c>
      <c r="AG29" s="88">
        <f t="shared" si="9"/>
        <v>269193.59999999998</v>
      </c>
      <c r="AH29" s="88">
        <f t="shared" si="9"/>
        <v>276400.8</v>
      </c>
      <c r="AI29" s="88">
        <f t="shared" si="9"/>
        <v>283740.79999999999</v>
      </c>
      <c r="AJ29" s="88">
        <f t="shared" si="9"/>
        <v>291216.8</v>
      </c>
      <c r="AK29" s="88">
        <f t="shared" si="9"/>
        <v>298829.59999999998</v>
      </c>
      <c r="AL29" s="88">
        <f t="shared" si="9"/>
        <v>306581.59999999998</v>
      </c>
      <c r="AM29" s="88">
        <f t="shared" si="9"/>
        <v>3476959.2</v>
      </c>
      <c r="AN29" s="88">
        <f t="shared" si="9"/>
        <v>4573368.8</v>
      </c>
    </row>
    <row r="30" spans="2:40" ht="15.75" customHeight="1">
      <c r="B30" s="36" t="s">
        <v>307</v>
      </c>
      <c r="C30" s="89">
        <f t="shared" ref="C30:AN30" si="10">IFERROR(C29/C4,0)</f>
        <v>0.27578947368421053</v>
      </c>
      <c r="D30" s="89">
        <f t="shared" si="10"/>
        <v>0.28192673160201176</v>
      </c>
      <c r="E30" s="89">
        <f t="shared" si="10"/>
        <v>0.28798997891906752</v>
      </c>
      <c r="F30" s="89">
        <f t="shared" si="10"/>
        <v>0.2939832414266324</v>
      </c>
      <c r="G30" s="89">
        <f t="shared" si="10"/>
        <v>0.29990492001950864</v>
      </c>
      <c r="H30" s="89">
        <f t="shared" si="10"/>
        <v>0.30575761980908078</v>
      </c>
      <c r="I30" s="89">
        <f t="shared" si="10"/>
        <v>0.31153975391962707</v>
      </c>
      <c r="J30" s="89">
        <f t="shared" si="10"/>
        <v>0.31725052916812196</v>
      </c>
      <c r="K30" s="89">
        <f t="shared" si="10"/>
        <v>0.3228973330904748</v>
      </c>
      <c r="L30" s="89">
        <f t="shared" si="10"/>
        <v>0.32847294036539121</v>
      </c>
      <c r="M30" s="89">
        <f t="shared" si="10"/>
        <v>0.33398453271351169</v>
      </c>
      <c r="N30" s="89">
        <f t="shared" si="10"/>
        <v>0.33942936380470934</v>
      </c>
      <c r="O30" s="89">
        <f t="shared" si="10"/>
        <v>0.34480856509606816</v>
      </c>
      <c r="P30" s="89">
        <f t="shared" si="10"/>
        <v>0.35012683324453236</v>
      </c>
      <c r="Q30" s="89">
        <f t="shared" si="10"/>
        <v>0.35537924137110261</v>
      </c>
      <c r="R30" s="89">
        <f t="shared" si="10"/>
        <v>0.36057134055552703</v>
      </c>
      <c r="S30" s="89">
        <f t="shared" si="10"/>
        <v>0.36569900270886652</v>
      </c>
      <c r="T30" s="89">
        <f t="shared" si="10"/>
        <v>0.3707676076067325</v>
      </c>
      <c r="U30" s="89">
        <f t="shared" si="10"/>
        <v>0.37577704815509694</v>
      </c>
      <c r="V30" s="89">
        <f t="shared" si="10"/>
        <v>0.38072617107003348</v>
      </c>
      <c r="W30" s="89">
        <f t="shared" si="10"/>
        <v>0.38561482988515311</v>
      </c>
      <c r="X30" s="89">
        <f t="shared" si="10"/>
        <v>0.39044955104409218</v>
      </c>
      <c r="Y30" s="89">
        <f t="shared" si="10"/>
        <v>0.39522476740314716</v>
      </c>
      <c r="Z30" s="89">
        <f t="shared" si="10"/>
        <v>0.39994314143567872</v>
      </c>
      <c r="AA30" s="89">
        <f t="shared" si="10"/>
        <v>0.40460437358856549</v>
      </c>
      <c r="AB30" s="89">
        <f t="shared" si="10"/>
        <v>0.40921306652508072</v>
      </c>
      <c r="AC30" s="89">
        <f t="shared" si="10"/>
        <v>0.41376188103469236</v>
      </c>
      <c r="AD30" s="89">
        <f t="shared" si="10"/>
        <v>0.4182648647920344</v>
      </c>
      <c r="AE30" s="89">
        <f t="shared" si="10"/>
        <v>0.42271124893977946</v>
      </c>
      <c r="AF30" s="89">
        <f t="shared" si="10"/>
        <v>0.42710014029450444</v>
      </c>
      <c r="AG30" s="89">
        <f t="shared" si="10"/>
        <v>0.43144286772083118</v>
      </c>
      <c r="AH30" s="89">
        <f t="shared" si="10"/>
        <v>0.43573179555977343</v>
      </c>
      <c r="AI30" s="89">
        <f t="shared" si="10"/>
        <v>0.43997029038205387</v>
      </c>
      <c r="AJ30" s="89">
        <f t="shared" si="10"/>
        <v>0.44416028502707972</v>
      </c>
      <c r="AK30" s="89">
        <f t="shared" si="10"/>
        <v>0.44829931666629158</v>
      </c>
      <c r="AL30" s="89">
        <f t="shared" si="10"/>
        <v>0.45238875895498709</v>
      </c>
      <c r="AM30" s="89">
        <f t="shared" si="10"/>
        <v>0.44125639619883045</v>
      </c>
      <c r="AN30" s="89">
        <f t="shared" si="10"/>
        <v>0.4836669340210093</v>
      </c>
    </row>
  </sheetData>
  <mergeCells count="1">
    <mergeCell ref="A1:AP1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C3553"/>
  </sheetPr>
  <dimension ref="A1:P21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4" sqref="P4"/>
    </sheetView>
  </sheetViews>
  <sheetFormatPr defaultColWidth="8.7109375" defaultRowHeight="15"/>
  <cols>
    <col min="1" max="1" width="3" customWidth="1"/>
    <col min="2" max="2" width="34" customWidth="1"/>
    <col min="3" max="14" width="10" customWidth="1"/>
    <col min="15" max="16" width="13" customWidth="1"/>
  </cols>
  <sheetData>
    <row r="1" spans="1:16" ht="27.75" customHeight="1">
      <c r="A1" s="150" t="s">
        <v>308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16" ht="24" customHeight="1">
      <c r="B2" s="75" t="s">
        <v>309</v>
      </c>
      <c r="C2" s="76" t="s">
        <v>310</v>
      </c>
      <c r="D2" s="76" t="s">
        <v>311</v>
      </c>
      <c r="E2" s="76" t="s">
        <v>312</v>
      </c>
      <c r="F2" s="76" t="s">
        <v>313</v>
      </c>
      <c r="G2" s="76" t="s">
        <v>314</v>
      </c>
      <c r="H2" s="76" t="s">
        <v>315</v>
      </c>
      <c r="I2" s="76" t="s">
        <v>316</v>
      </c>
      <c r="J2" s="76" t="s">
        <v>317</v>
      </c>
      <c r="K2" s="76" t="s">
        <v>318</v>
      </c>
      <c r="L2" s="76" t="s">
        <v>319</v>
      </c>
      <c r="M2" s="76" t="s">
        <v>320</v>
      </c>
      <c r="N2" s="76" t="s">
        <v>321</v>
      </c>
      <c r="O2" s="92" t="s">
        <v>322</v>
      </c>
      <c r="P2" s="92" t="s">
        <v>323</v>
      </c>
    </row>
    <row r="3" spans="1:16" ht="18" customHeight="1">
      <c r="B3" s="77" t="s">
        <v>324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ht="15.75" customHeight="1">
      <c r="B4" s="36" t="s">
        <v>325</v>
      </c>
      <c r="C4" s="80">
        <v>8000</v>
      </c>
      <c r="D4" s="80">
        <v>8047</v>
      </c>
      <c r="E4" s="80">
        <v>8094</v>
      </c>
      <c r="F4" s="80">
        <v>8141</v>
      </c>
      <c r="G4" s="80">
        <v>8188</v>
      </c>
      <c r="H4" s="80">
        <v>8236</v>
      </c>
      <c r="I4" s="80">
        <v>8284</v>
      </c>
      <c r="J4" s="80">
        <v>8332</v>
      </c>
      <c r="K4" s="80">
        <v>8381</v>
      </c>
      <c r="L4" s="80">
        <v>8430</v>
      </c>
      <c r="M4" s="80">
        <v>8479</v>
      </c>
      <c r="N4" s="80">
        <v>8529</v>
      </c>
      <c r="O4" s="81">
        <f t="shared" ref="O4:O12" si="0">SUM(C4:N4)</f>
        <v>99141</v>
      </c>
      <c r="P4" s="81">
        <v>102720</v>
      </c>
    </row>
    <row r="5" spans="1:16" ht="15.75" customHeight="1">
      <c r="B5" s="36" t="s">
        <v>326</v>
      </c>
      <c r="C5" s="80">
        <v>6000</v>
      </c>
      <c r="D5" s="80">
        <v>6035</v>
      </c>
      <c r="E5" s="80">
        <v>6070</v>
      </c>
      <c r="F5" s="80">
        <v>6106</v>
      </c>
      <c r="G5" s="80">
        <v>6141</v>
      </c>
      <c r="H5" s="80">
        <v>6177</v>
      </c>
      <c r="I5" s="80">
        <v>6213</v>
      </c>
      <c r="J5" s="80">
        <v>6249</v>
      </c>
      <c r="K5" s="80">
        <v>6286</v>
      </c>
      <c r="L5" s="80">
        <v>6322</v>
      </c>
      <c r="M5" s="80">
        <v>6359</v>
      </c>
      <c r="N5" s="80">
        <v>6396</v>
      </c>
      <c r="O5" s="81">
        <f t="shared" si="0"/>
        <v>74354</v>
      </c>
      <c r="P5" s="81">
        <v>77040</v>
      </c>
    </row>
    <row r="6" spans="1:16" ht="15.75" customHeight="1">
      <c r="B6" s="36" t="s">
        <v>327</v>
      </c>
      <c r="C6" s="80">
        <v>12000</v>
      </c>
      <c r="D6" s="80">
        <v>12070</v>
      </c>
      <c r="E6" s="80">
        <v>12140</v>
      </c>
      <c r="F6" s="80">
        <v>12211</v>
      </c>
      <c r="G6" s="80">
        <v>12282</v>
      </c>
      <c r="H6" s="80">
        <v>12354</v>
      </c>
      <c r="I6" s="80">
        <v>12426</v>
      </c>
      <c r="J6" s="80">
        <v>12499</v>
      </c>
      <c r="K6" s="80">
        <v>12572</v>
      </c>
      <c r="L6" s="80">
        <v>12645</v>
      </c>
      <c r="M6" s="80">
        <v>12719</v>
      </c>
      <c r="N6" s="80">
        <v>12793</v>
      </c>
      <c r="O6" s="81">
        <f t="shared" si="0"/>
        <v>148711</v>
      </c>
      <c r="P6" s="81">
        <v>154080</v>
      </c>
    </row>
    <row r="7" spans="1:16" ht="15.75" customHeight="1">
      <c r="B7" s="36" t="s">
        <v>328</v>
      </c>
      <c r="C7" s="80">
        <v>4000</v>
      </c>
      <c r="D7" s="80">
        <v>4023</v>
      </c>
      <c r="E7" s="80">
        <v>4047</v>
      </c>
      <c r="F7" s="80">
        <v>4070</v>
      </c>
      <c r="G7" s="80">
        <v>4094</v>
      </c>
      <c r="H7" s="80">
        <v>4118</v>
      </c>
      <c r="I7" s="80">
        <v>4142</v>
      </c>
      <c r="J7" s="80">
        <v>4166</v>
      </c>
      <c r="K7" s="80">
        <v>4191</v>
      </c>
      <c r="L7" s="80">
        <v>4215</v>
      </c>
      <c r="M7" s="80">
        <v>4240</v>
      </c>
      <c r="N7" s="80">
        <v>4264</v>
      </c>
      <c r="O7" s="81">
        <f t="shared" si="0"/>
        <v>49570</v>
      </c>
      <c r="P7" s="81">
        <v>51360</v>
      </c>
    </row>
    <row r="8" spans="1:16" ht="15.75" customHeight="1">
      <c r="B8" s="36" t="s">
        <v>329</v>
      </c>
      <c r="C8" s="80">
        <v>2500</v>
      </c>
      <c r="D8" s="80">
        <v>2510</v>
      </c>
      <c r="E8" s="80">
        <v>2521</v>
      </c>
      <c r="F8" s="80">
        <v>2531</v>
      </c>
      <c r="G8" s="80">
        <v>2542</v>
      </c>
      <c r="H8" s="80">
        <v>2553</v>
      </c>
      <c r="I8" s="80">
        <v>2563</v>
      </c>
      <c r="J8" s="80">
        <v>2574</v>
      </c>
      <c r="K8" s="80">
        <v>2585</v>
      </c>
      <c r="L8" s="80">
        <v>2595</v>
      </c>
      <c r="M8" s="80">
        <v>2606</v>
      </c>
      <c r="N8" s="80">
        <v>2617</v>
      </c>
      <c r="O8" s="81">
        <f t="shared" si="0"/>
        <v>30697</v>
      </c>
      <c r="P8" s="81">
        <v>31500</v>
      </c>
    </row>
    <row r="9" spans="1:16" ht="15.75" customHeight="1">
      <c r="B9" s="36" t="s">
        <v>330</v>
      </c>
      <c r="C9" s="80">
        <v>10000</v>
      </c>
      <c r="D9" s="80">
        <v>10042</v>
      </c>
      <c r="E9" s="80">
        <v>10084</v>
      </c>
      <c r="F9" s="80">
        <v>10126</v>
      </c>
      <c r="G9" s="80">
        <v>10168</v>
      </c>
      <c r="H9" s="80">
        <v>10210</v>
      </c>
      <c r="I9" s="80">
        <v>10253</v>
      </c>
      <c r="J9" s="80">
        <v>10295</v>
      </c>
      <c r="K9" s="80">
        <v>10338</v>
      </c>
      <c r="L9" s="80">
        <v>10381</v>
      </c>
      <c r="M9" s="80">
        <v>10425</v>
      </c>
      <c r="N9" s="80">
        <v>10468</v>
      </c>
      <c r="O9" s="81">
        <f t="shared" si="0"/>
        <v>122790</v>
      </c>
      <c r="P9" s="81">
        <v>126000</v>
      </c>
    </row>
    <row r="10" spans="1:16" ht="15.75" customHeight="1">
      <c r="B10" s="36" t="s">
        <v>331</v>
      </c>
      <c r="C10" s="80">
        <v>3000</v>
      </c>
      <c r="D10" s="80">
        <v>3008</v>
      </c>
      <c r="E10" s="80">
        <v>3015</v>
      </c>
      <c r="F10" s="80">
        <v>3023</v>
      </c>
      <c r="G10" s="80">
        <v>3030</v>
      </c>
      <c r="H10" s="80">
        <v>3038</v>
      </c>
      <c r="I10" s="80">
        <v>3045</v>
      </c>
      <c r="J10" s="80">
        <v>3053</v>
      </c>
      <c r="K10" s="80">
        <v>3061</v>
      </c>
      <c r="L10" s="80">
        <v>3068</v>
      </c>
      <c r="M10" s="80">
        <v>3076</v>
      </c>
      <c r="N10" s="80">
        <v>3084</v>
      </c>
      <c r="O10" s="81">
        <f t="shared" si="0"/>
        <v>36501</v>
      </c>
      <c r="P10" s="81">
        <v>37080</v>
      </c>
    </row>
    <row r="11" spans="1:16" ht="15.75" customHeight="1">
      <c r="B11" s="36" t="s">
        <v>332</v>
      </c>
      <c r="C11" s="80">
        <v>2000</v>
      </c>
      <c r="D11" s="80">
        <v>2007</v>
      </c>
      <c r="E11" s="80">
        <v>2013</v>
      </c>
      <c r="F11" s="80">
        <v>2020</v>
      </c>
      <c r="G11" s="80">
        <v>2027</v>
      </c>
      <c r="H11" s="80">
        <v>2034</v>
      </c>
      <c r="I11" s="80">
        <v>2040</v>
      </c>
      <c r="J11" s="80">
        <v>2047</v>
      </c>
      <c r="K11" s="80">
        <v>2054</v>
      </c>
      <c r="L11" s="80">
        <v>2061</v>
      </c>
      <c r="M11" s="80">
        <v>2068</v>
      </c>
      <c r="N11" s="80">
        <v>2075</v>
      </c>
      <c r="O11" s="81">
        <f t="shared" si="0"/>
        <v>24446</v>
      </c>
      <c r="P11" s="81">
        <v>24960</v>
      </c>
    </row>
    <row r="12" spans="1:16" ht="15.75" customHeight="1">
      <c r="B12" s="82" t="s">
        <v>333</v>
      </c>
      <c r="C12" s="93">
        <f t="shared" ref="C12:N12" si="1">SUM(C4:C11)</f>
        <v>47500</v>
      </c>
      <c r="D12" s="93">
        <f t="shared" si="1"/>
        <v>47742</v>
      </c>
      <c r="E12" s="93">
        <f t="shared" si="1"/>
        <v>47984</v>
      </c>
      <c r="F12" s="93">
        <f t="shared" si="1"/>
        <v>48228</v>
      </c>
      <c r="G12" s="93">
        <f t="shared" si="1"/>
        <v>48472</v>
      </c>
      <c r="H12" s="93">
        <f t="shared" si="1"/>
        <v>48720</v>
      </c>
      <c r="I12" s="93">
        <f t="shared" si="1"/>
        <v>48966</v>
      </c>
      <c r="J12" s="93">
        <f t="shared" si="1"/>
        <v>49215</v>
      </c>
      <c r="K12" s="93">
        <f t="shared" si="1"/>
        <v>49468</v>
      </c>
      <c r="L12" s="93">
        <f t="shared" si="1"/>
        <v>49717</v>
      </c>
      <c r="M12" s="93">
        <f t="shared" si="1"/>
        <v>49972</v>
      </c>
      <c r="N12" s="93">
        <f t="shared" si="1"/>
        <v>50226</v>
      </c>
      <c r="O12" s="83">
        <f t="shared" si="0"/>
        <v>586210</v>
      </c>
      <c r="P12" s="81">
        <f>IFERROR(O12*(1+0.08),0)</f>
        <v>633106.80000000005</v>
      </c>
    </row>
    <row r="13" spans="1:16" ht="18" customHeight="1">
      <c r="B13" s="77" t="s">
        <v>334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</row>
    <row r="14" spans="1:16" ht="15.75" customHeight="1">
      <c r="B14" s="36" t="s">
        <v>335</v>
      </c>
      <c r="C14" s="80">
        <v>168000</v>
      </c>
      <c r="D14" s="80">
        <v>168840</v>
      </c>
      <c r="E14" s="80">
        <v>169684</v>
      </c>
      <c r="F14" s="80">
        <v>170533</v>
      </c>
      <c r="G14" s="80">
        <v>171385</v>
      </c>
      <c r="H14" s="80">
        <v>172242</v>
      </c>
      <c r="I14" s="80">
        <v>173103</v>
      </c>
      <c r="J14" s="80">
        <v>173969</v>
      </c>
      <c r="K14" s="80">
        <v>174839</v>
      </c>
      <c r="L14" s="80">
        <v>175713</v>
      </c>
      <c r="M14" s="80">
        <v>176592</v>
      </c>
      <c r="N14" s="80">
        <v>177474</v>
      </c>
      <c r="O14" s="81">
        <f t="shared" ref="O14:O20" si="2">SUM(C14:N14)</f>
        <v>2072374</v>
      </c>
      <c r="P14" s="81">
        <v>2136960</v>
      </c>
    </row>
    <row r="15" spans="1:16" ht="15.75" customHeight="1">
      <c r="B15" s="36" t="s">
        <v>336</v>
      </c>
      <c r="C15" s="80">
        <v>8000</v>
      </c>
      <c r="D15" s="80">
        <v>8027</v>
      </c>
      <c r="E15" s="80">
        <v>8053</v>
      </c>
      <c r="F15" s="80">
        <v>8080</v>
      </c>
      <c r="G15" s="80">
        <v>8107</v>
      </c>
      <c r="H15" s="80">
        <v>8134</v>
      </c>
      <c r="I15" s="80">
        <v>8161</v>
      </c>
      <c r="J15" s="80">
        <v>8189</v>
      </c>
      <c r="K15" s="80">
        <v>8216</v>
      </c>
      <c r="L15" s="80">
        <v>8243</v>
      </c>
      <c r="M15" s="80">
        <v>8271</v>
      </c>
      <c r="N15" s="80">
        <v>8298</v>
      </c>
      <c r="O15" s="81">
        <f t="shared" si="2"/>
        <v>97779</v>
      </c>
      <c r="P15" s="81">
        <v>99840</v>
      </c>
    </row>
    <row r="16" spans="1:16" ht="15.75" customHeight="1">
      <c r="B16" s="36" t="s">
        <v>337</v>
      </c>
      <c r="C16" s="80">
        <v>5000</v>
      </c>
      <c r="D16" s="80">
        <v>5021</v>
      </c>
      <c r="E16" s="80">
        <v>5042</v>
      </c>
      <c r="F16" s="80">
        <v>5063</v>
      </c>
      <c r="G16" s="80">
        <v>5084</v>
      </c>
      <c r="H16" s="80">
        <v>5105</v>
      </c>
      <c r="I16" s="80">
        <v>5126</v>
      </c>
      <c r="J16" s="80">
        <v>5148</v>
      </c>
      <c r="K16" s="80">
        <v>5169</v>
      </c>
      <c r="L16" s="80">
        <v>5191</v>
      </c>
      <c r="M16" s="80">
        <v>5212</v>
      </c>
      <c r="N16" s="80">
        <v>5234</v>
      </c>
      <c r="O16" s="81">
        <f t="shared" si="2"/>
        <v>61395</v>
      </c>
      <c r="P16" s="81">
        <v>63000</v>
      </c>
    </row>
    <row r="17" spans="2:16" ht="15.75" customHeight="1">
      <c r="B17" s="36" t="s">
        <v>338</v>
      </c>
      <c r="C17" s="80">
        <v>5000</v>
      </c>
      <c r="D17" s="80">
        <v>5021</v>
      </c>
      <c r="E17" s="80">
        <v>5042</v>
      </c>
      <c r="F17" s="80">
        <v>5063</v>
      </c>
      <c r="G17" s="80">
        <v>5084</v>
      </c>
      <c r="H17" s="80">
        <v>5105</v>
      </c>
      <c r="I17" s="80">
        <v>5126</v>
      </c>
      <c r="J17" s="80">
        <v>5148</v>
      </c>
      <c r="K17" s="80">
        <v>5169</v>
      </c>
      <c r="L17" s="80">
        <v>5191</v>
      </c>
      <c r="M17" s="80">
        <v>5212</v>
      </c>
      <c r="N17" s="80">
        <v>5234</v>
      </c>
      <c r="O17" s="81">
        <f t="shared" si="2"/>
        <v>61395</v>
      </c>
      <c r="P17" s="81">
        <v>63000</v>
      </c>
    </row>
    <row r="18" spans="2:16" ht="15.75" customHeight="1">
      <c r="B18" s="36" t="s">
        <v>339</v>
      </c>
      <c r="C18" s="80">
        <v>8000</v>
      </c>
      <c r="D18" s="80">
        <v>8067</v>
      </c>
      <c r="E18" s="80">
        <v>8134</v>
      </c>
      <c r="F18" s="80">
        <v>8202</v>
      </c>
      <c r="G18" s="80">
        <v>8270</v>
      </c>
      <c r="H18" s="80">
        <v>8339</v>
      </c>
      <c r="I18" s="80">
        <v>8408</v>
      </c>
      <c r="J18" s="80">
        <v>8478</v>
      </c>
      <c r="K18" s="80">
        <v>8549</v>
      </c>
      <c r="L18" s="80">
        <v>8620</v>
      </c>
      <c r="M18" s="80">
        <v>8692</v>
      </c>
      <c r="N18" s="80">
        <v>8765</v>
      </c>
      <c r="O18" s="81">
        <f t="shared" si="2"/>
        <v>100524</v>
      </c>
      <c r="P18" s="81">
        <v>105600</v>
      </c>
    </row>
    <row r="19" spans="2:16" ht="15.75" customHeight="1">
      <c r="B19" s="36" t="s">
        <v>297</v>
      </c>
      <c r="C19" s="80">
        <v>3000</v>
      </c>
      <c r="D19" s="80">
        <v>3012</v>
      </c>
      <c r="E19" s="80">
        <v>3025</v>
      </c>
      <c r="F19" s="80">
        <v>3038</v>
      </c>
      <c r="G19" s="80">
        <v>3050</v>
      </c>
      <c r="H19" s="80">
        <v>3063</v>
      </c>
      <c r="I19" s="80">
        <v>3076</v>
      </c>
      <c r="J19" s="80">
        <v>3089</v>
      </c>
      <c r="K19" s="80">
        <v>3101</v>
      </c>
      <c r="L19" s="80">
        <v>3114</v>
      </c>
      <c r="M19" s="80">
        <v>3127</v>
      </c>
      <c r="N19" s="80">
        <v>3140</v>
      </c>
      <c r="O19" s="81">
        <f t="shared" si="2"/>
        <v>36835</v>
      </c>
      <c r="P19" s="81">
        <v>37800</v>
      </c>
    </row>
    <row r="20" spans="2:16" ht="15.75" customHeight="1">
      <c r="B20" s="82" t="s">
        <v>340</v>
      </c>
      <c r="C20" s="93">
        <f t="shared" ref="C20:N20" si="3">SUM(C14:C19)</f>
        <v>197000</v>
      </c>
      <c r="D20" s="93">
        <f t="shared" si="3"/>
        <v>197988</v>
      </c>
      <c r="E20" s="93">
        <f t="shared" si="3"/>
        <v>198980</v>
      </c>
      <c r="F20" s="93">
        <f t="shared" si="3"/>
        <v>199979</v>
      </c>
      <c r="G20" s="93">
        <f t="shared" si="3"/>
        <v>200980</v>
      </c>
      <c r="H20" s="93">
        <f t="shared" si="3"/>
        <v>201988</v>
      </c>
      <c r="I20" s="93">
        <f t="shared" si="3"/>
        <v>203000</v>
      </c>
      <c r="J20" s="93">
        <f t="shared" si="3"/>
        <v>204021</v>
      </c>
      <c r="K20" s="93">
        <f t="shared" si="3"/>
        <v>205043</v>
      </c>
      <c r="L20" s="93">
        <f t="shared" si="3"/>
        <v>206072</v>
      </c>
      <c r="M20" s="93">
        <f t="shared" si="3"/>
        <v>207106</v>
      </c>
      <c r="N20" s="93">
        <f t="shared" si="3"/>
        <v>208145</v>
      </c>
      <c r="O20" s="94">
        <f t="shared" si="2"/>
        <v>2430302</v>
      </c>
      <c r="P20" s="81">
        <f>IFERROR(O20*(1+0.08),0)</f>
        <v>2624726.16</v>
      </c>
    </row>
    <row r="21" spans="2:16" ht="18" customHeight="1">
      <c r="B21" s="77" t="s">
        <v>341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</sheetData>
  <mergeCells count="1">
    <mergeCell ref="A1:P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C3553"/>
  </sheetPr>
  <dimension ref="A1:I13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I1"/>
    </sheetView>
  </sheetViews>
  <sheetFormatPr defaultColWidth="8.7109375" defaultRowHeight="15"/>
  <cols>
    <col min="1" max="1" width="3" customWidth="1"/>
    <col min="2" max="2" width="36" customWidth="1"/>
    <col min="3" max="9" width="14" customWidth="1"/>
  </cols>
  <sheetData>
    <row r="1" spans="1:9" ht="27.75" customHeight="1">
      <c r="A1" s="150" t="s">
        <v>342</v>
      </c>
      <c r="B1" s="150"/>
      <c r="C1" s="150"/>
      <c r="D1" s="150"/>
      <c r="E1" s="150"/>
      <c r="F1" s="150"/>
      <c r="G1" s="150"/>
      <c r="H1" s="150"/>
      <c r="I1" s="150"/>
    </row>
    <row r="2" spans="1:9" ht="24" customHeight="1">
      <c r="B2" s="75" t="s">
        <v>343</v>
      </c>
      <c r="C2" s="95" t="s">
        <v>344</v>
      </c>
      <c r="D2" s="95" t="s">
        <v>345</v>
      </c>
      <c r="E2" s="95" t="s">
        <v>346</v>
      </c>
      <c r="F2" s="95" t="s">
        <v>347</v>
      </c>
      <c r="G2" s="95" t="s">
        <v>348</v>
      </c>
    </row>
    <row r="3" spans="1:9" ht="21.75" customHeight="1">
      <c r="A3" s="161" t="s">
        <v>349</v>
      </c>
      <c r="B3" s="161"/>
      <c r="C3" s="161"/>
      <c r="D3" s="161"/>
      <c r="E3" s="161"/>
      <c r="F3" s="161"/>
      <c r="G3" s="161"/>
      <c r="H3" s="161"/>
      <c r="I3" s="161"/>
    </row>
    <row r="4" spans="1:9" ht="15.75" customHeight="1">
      <c r="B4" s="36" t="s">
        <v>350</v>
      </c>
      <c r="C4" s="96">
        <v>30</v>
      </c>
      <c r="D4" s="96">
        <v>28</v>
      </c>
      <c r="E4" s="96">
        <v>25</v>
      </c>
      <c r="F4" s="96">
        <v>25</v>
      </c>
      <c r="G4" s="96">
        <v>25</v>
      </c>
    </row>
    <row r="5" spans="1:9" ht="15.75" customHeight="1">
      <c r="B5" s="36" t="s">
        <v>166</v>
      </c>
      <c r="C5" s="96">
        <v>45</v>
      </c>
      <c r="D5" s="96">
        <v>42</v>
      </c>
      <c r="E5" s="96">
        <v>40</v>
      </c>
      <c r="F5" s="96">
        <v>38</v>
      </c>
      <c r="G5" s="96">
        <v>35</v>
      </c>
    </row>
    <row r="6" spans="1:9" ht="15.75" customHeight="1">
      <c r="B6" s="36" t="s">
        <v>351</v>
      </c>
      <c r="C6" s="96">
        <v>30</v>
      </c>
      <c r="D6" s="96">
        <v>30</v>
      </c>
      <c r="E6" s="96">
        <v>32</v>
      </c>
      <c r="F6" s="96">
        <v>35</v>
      </c>
      <c r="G6" s="96">
        <v>35</v>
      </c>
    </row>
    <row r="8" spans="1:9" ht="21.75" customHeight="1">
      <c r="A8" s="152" t="s">
        <v>352</v>
      </c>
      <c r="B8" s="152"/>
      <c r="C8" s="152"/>
      <c r="D8" s="152"/>
      <c r="E8" s="152"/>
      <c r="F8" s="152"/>
      <c r="G8" s="152"/>
      <c r="H8" s="152"/>
      <c r="I8" s="152"/>
    </row>
    <row r="9" spans="1:9" ht="18" customHeight="1">
      <c r="B9" s="36" t="s">
        <v>353</v>
      </c>
      <c r="C9" s="72">
        <v>374795</v>
      </c>
      <c r="D9" s="72">
        <v>419770</v>
      </c>
      <c r="E9" s="72">
        <v>449589</v>
      </c>
      <c r="F9" s="72">
        <v>539178</v>
      </c>
      <c r="G9" s="72">
        <v>646849</v>
      </c>
    </row>
    <row r="10" spans="1:9" ht="18" customHeight="1">
      <c r="B10" s="36" t="s">
        <v>354</v>
      </c>
      <c r="C10" s="72">
        <v>226356</v>
      </c>
      <c r="D10" s="72">
        <v>251310</v>
      </c>
      <c r="E10" s="72">
        <v>282740</v>
      </c>
      <c r="F10" s="72">
        <v>324822</v>
      </c>
      <c r="G10" s="72">
        <v>360164</v>
      </c>
    </row>
    <row r="11" spans="1:9" ht="18" customHeight="1">
      <c r="B11" s="36" t="s">
        <v>355</v>
      </c>
      <c r="C11" s="72">
        <v>150904</v>
      </c>
      <c r="D11" s="72">
        <v>179507</v>
      </c>
      <c r="E11" s="72">
        <v>226192</v>
      </c>
      <c r="F11" s="72">
        <v>299178</v>
      </c>
      <c r="G11" s="72">
        <v>360164</v>
      </c>
    </row>
    <row r="12" spans="1:9" ht="18" customHeight="1">
      <c r="B12" s="97" t="s">
        <v>356</v>
      </c>
      <c r="C12" s="98">
        <f>C9+C10-C11</f>
        <v>450247</v>
      </c>
      <c r="D12" s="98">
        <f>D9+D10-D11</f>
        <v>491573</v>
      </c>
      <c r="E12" s="98">
        <f>E9+E10-E11</f>
        <v>506137</v>
      </c>
      <c r="F12" s="98">
        <f>F9+F10-F11</f>
        <v>564822</v>
      </c>
      <c r="G12" s="98">
        <f>G9+G10-G11</f>
        <v>646849</v>
      </c>
    </row>
    <row r="13" spans="1:9" ht="18" customHeight="1">
      <c r="B13" s="82" t="s">
        <v>357</v>
      </c>
      <c r="C13" s="99">
        <f>C12</f>
        <v>450247</v>
      </c>
      <c r="D13" s="99">
        <f>D12-C12</f>
        <v>41326</v>
      </c>
      <c r="E13" s="99">
        <f>E12-D12</f>
        <v>14564</v>
      </c>
      <c r="F13" s="99">
        <f>F12-E12</f>
        <v>58685</v>
      </c>
      <c r="G13" s="99">
        <f>G12-F12</f>
        <v>82027</v>
      </c>
    </row>
  </sheetData>
  <mergeCells count="3">
    <mergeCell ref="A1:I1"/>
    <mergeCell ref="A3:I3"/>
    <mergeCell ref="A8:I8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3C"/>
  </sheetPr>
  <dimension ref="A1:I38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7" sqref="C7"/>
    </sheetView>
  </sheetViews>
  <sheetFormatPr defaultColWidth="8.7109375" defaultRowHeight="15"/>
  <cols>
    <col min="1" max="1" width="3" customWidth="1"/>
    <col min="2" max="2" width="36" customWidth="1"/>
    <col min="3" max="9" width="16" customWidth="1"/>
  </cols>
  <sheetData>
    <row r="1" spans="1:9" ht="27.75" customHeight="1">
      <c r="A1" s="150" t="s">
        <v>358</v>
      </c>
      <c r="B1" s="150"/>
      <c r="C1" s="150"/>
      <c r="D1" s="150"/>
      <c r="E1" s="150"/>
      <c r="F1" s="150"/>
      <c r="G1" s="150"/>
      <c r="H1" s="150"/>
      <c r="I1" s="150"/>
    </row>
    <row r="2" spans="1:9" ht="24" customHeight="1">
      <c r="B2" s="75" t="s">
        <v>343</v>
      </c>
      <c r="C2" s="95" t="s">
        <v>344</v>
      </c>
      <c r="D2" s="95" t="s">
        <v>345</v>
      </c>
      <c r="E2" s="95" t="s">
        <v>346</v>
      </c>
      <c r="F2" s="95" t="s">
        <v>347</v>
      </c>
      <c r="G2" s="95" t="s">
        <v>348</v>
      </c>
    </row>
    <row r="3" spans="1:9" ht="21.75" customHeight="1">
      <c r="A3" s="161" t="s">
        <v>359</v>
      </c>
      <c r="B3" s="161"/>
      <c r="C3" s="161"/>
      <c r="D3" s="161"/>
      <c r="E3" s="161"/>
      <c r="F3" s="161"/>
      <c r="G3" s="161"/>
      <c r="H3" s="161"/>
      <c r="I3" s="161"/>
    </row>
    <row r="4" spans="1:9" ht="16.5" customHeight="1">
      <c r="B4" s="36" t="s">
        <v>108</v>
      </c>
      <c r="C4" s="100">
        <f>ASSUMPTIONS!F10</f>
        <v>0.18</v>
      </c>
    </row>
    <row r="5" spans="1:9" ht="16.5" customHeight="1">
      <c r="B5" s="36" t="s">
        <v>110</v>
      </c>
      <c r="C5" s="100">
        <f>ASSUMPTIONS!F11</f>
        <v>0.03</v>
      </c>
    </row>
    <row r="6" spans="1:9" ht="16.5" customHeight="1">
      <c r="B6" s="36" t="s">
        <v>106</v>
      </c>
      <c r="C6" s="100">
        <f>ASSUMPTIONS!F9</f>
        <v>0.2</v>
      </c>
    </row>
    <row r="7" spans="1:9" ht="16.5" customHeight="1">
      <c r="B7" s="36" t="s">
        <v>172</v>
      </c>
      <c r="C7" s="101">
        <f>ASSUMPTIONS!F55</f>
        <v>6</v>
      </c>
    </row>
    <row r="8" spans="1:9" ht="16.5" customHeight="1">
      <c r="B8" s="36" t="s">
        <v>169</v>
      </c>
      <c r="C8" s="102">
        <f>ASSUMPTIONS!F53</f>
        <v>0.2</v>
      </c>
    </row>
    <row r="10" spans="1:9" ht="21.75" customHeight="1">
      <c r="A10" s="152" t="s">
        <v>360</v>
      </c>
      <c r="B10" s="152"/>
      <c r="C10" s="152"/>
      <c r="D10" s="152"/>
      <c r="E10" s="152"/>
      <c r="F10" s="152"/>
      <c r="G10" s="152"/>
      <c r="H10" s="152"/>
      <c r="I10" s="152"/>
    </row>
    <row r="11" spans="1:9" ht="18" customHeight="1">
      <c r="B11" s="36" t="s">
        <v>361</v>
      </c>
      <c r="C11" s="81">
        <v>4560000</v>
      </c>
      <c r="D11" s="81">
        <v>5472000</v>
      </c>
      <c r="E11" s="81">
        <v>6564000</v>
      </c>
      <c r="F11" s="81">
        <v>7872000</v>
      </c>
      <c r="G11" s="81">
        <v>9444000</v>
      </c>
    </row>
    <row r="12" spans="1:9" ht="18" customHeight="1">
      <c r="B12" s="103" t="s">
        <v>362</v>
      </c>
      <c r="C12" s="104">
        <v>2736000</v>
      </c>
      <c r="D12" s="104">
        <v>3360000</v>
      </c>
      <c r="E12" s="104">
        <v>4080000</v>
      </c>
      <c r="F12" s="104">
        <v>5040000</v>
      </c>
      <c r="G12" s="104">
        <v>6120000</v>
      </c>
    </row>
    <row r="13" spans="1:9" ht="18" customHeight="1">
      <c r="B13" s="105" t="s">
        <v>363</v>
      </c>
      <c r="C13" s="106">
        <v>0.6</v>
      </c>
      <c r="D13" s="106">
        <v>0.61403508771929804</v>
      </c>
      <c r="E13" s="106">
        <v>0.62157221206581403</v>
      </c>
      <c r="F13" s="106">
        <v>0.64024390243902396</v>
      </c>
      <c r="G13" s="106">
        <v>0.64803049555273196</v>
      </c>
    </row>
    <row r="14" spans="1:9" ht="18" customHeight="1">
      <c r="B14" s="107" t="s">
        <v>364</v>
      </c>
      <c r="C14" s="108">
        <v>547200</v>
      </c>
      <c r="D14" s="108">
        <v>672000</v>
      </c>
      <c r="E14" s="108">
        <v>816000</v>
      </c>
      <c r="F14" s="108">
        <v>1008000</v>
      </c>
      <c r="G14" s="108">
        <v>1224000</v>
      </c>
    </row>
    <row r="15" spans="1:9" ht="18" customHeight="1">
      <c r="B15" s="107" t="s">
        <v>365</v>
      </c>
      <c r="C15" s="108">
        <v>1113000</v>
      </c>
      <c r="D15" s="108">
        <v>200000</v>
      </c>
      <c r="E15" s="108">
        <v>250000</v>
      </c>
      <c r="F15" s="108">
        <v>300000</v>
      </c>
      <c r="G15" s="108">
        <v>200000</v>
      </c>
    </row>
    <row r="16" spans="1:9" ht="18" customHeight="1">
      <c r="B16" s="107" t="s">
        <v>366</v>
      </c>
      <c r="C16" s="108">
        <v>80000</v>
      </c>
      <c r="D16" s="108">
        <v>50000</v>
      </c>
      <c r="E16" s="108">
        <v>60000</v>
      </c>
      <c r="F16" s="108">
        <v>70000</v>
      </c>
      <c r="G16" s="108">
        <v>80000</v>
      </c>
    </row>
    <row r="17" spans="1:9" ht="18" customHeight="1">
      <c r="B17" s="109" t="s">
        <v>367</v>
      </c>
      <c r="C17" s="110">
        <v>216000</v>
      </c>
      <c r="D17" s="110">
        <v>216000</v>
      </c>
      <c r="E17" s="110">
        <v>216000</v>
      </c>
      <c r="F17" s="110">
        <v>216000</v>
      </c>
      <c r="G17" s="110">
        <v>216000</v>
      </c>
    </row>
    <row r="18" spans="1:9" ht="18" customHeight="1">
      <c r="B18" s="73" t="s">
        <v>368</v>
      </c>
      <c r="C18" s="74">
        <f>C11-C14-C15-C16+C17</f>
        <v>3035800</v>
      </c>
      <c r="D18" s="74">
        <f>D11-D14-D15-D16+D17</f>
        <v>4766000</v>
      </c>
      <c r="E18" s="74">
        <f>E11-E14-E15-E16+E17</f>
        <v>5654000</v>
      </c>
      <c r="F18" s="74">
        <f>F11-F14-F15-F16+F17</f>
        <v>6710000</v>
      </c>
      <c r="G18" s="74">
        <f>G11-G14-G15-G16+G17</f>
        <v>8156000</v>
      </c>
    </row>
    <row r="19" spans="1:9" ht="21.75" customHeight="1">
      <c r="A19" s="159" t="s">
        <v>369</v>
      </c>
      <c r="B19" s="159"/>
      <c r="C19" s="159"/>
      <c r="D19" s="159"/>
      <c r="E19" s="159"/>
      <c r="F19" s="159"/>
      <c r="G19" s="159"/>
      <c r="H19" s="159"/>
      <c r="I19" s="159"/>
    </row>
    <row r="20" spans="1:9" ht="16.5" customHeight="1">
      <c r="B20" s="36" t="s">
        <v>370</v>
      </c>
      <c r="C20" s="111">
        <f>1/(1+C4)^1</f>
        <v>0.84745762711864414</v>
      </c>
      <c r="D20" s="111">
        <f>1/(1+C4)^2</f>
        <v>0.71818442976156283</v>
      </c>
      <c r="E20" s="111">
        <f>1/(1+C4)^3</f>
        <v>0.6086308726792905</v>
      </c>
      <c r="F20" s="111">
        <f>1/(1+C4)^4</f>
        <v>0.51578887515194116</v>
      </c>
      <c r="G20" s="111">
        <f>1/(1+C4)^5</f>
        <v>0.43710921623045873</v>
      </c>
    </row>
    <row r="21" spans="1:9" ht="16.5" customHeight="1">
      <c r="B21" s="36" t="s">
        <v>371</v>
      </c>
      <c r="C21" s="110">
        <f>C18*C20</f>
        <v>2572711.8644067799</v>
      </c>
      <c r="D21" s="110">
        <f>D18*D20</f>
        <v>3422866.9922436085</v>
      </c>
      <c r="E21" s="110">
        <f>E18*E20</f>
        <v>3441198.9541287087</v>
      </c>
      <c r="F21" s="110">
        <f>F18*F20</f>
        <v>3460943.3522695252</v>
      </c>
      <c r="G21" s="110">
        <f>G18*G20</f>
        <v>3565062.7675756216</v>
      </c>
    </row>
    <row r="22" spans="1:9" ht="18" customHeight="1">
      <c r="B22" s="87" t="s">
        <v>372</v>
      </c>
      <c r="C22" s="162">
        <f>SUM(C21:G21)</f>
        <v>16462783.930624243</v>
      </c>
      <c r="D22" s="162"/>
      <c r="E22" s="162"/>
      <c r="F22" s="162"/>
      <c r="G22" s="162"/>
    </row>
    <row r="24" spans="1:9" ht="21.75" customHeight="1">
      <c r="A24" s="152" t="s">
        <v>373</v>
      </c>
      <c r="B24" s="152"/>
      <c r="C24" s="152"/>
      <c r="D24" s="152"/>
      <c r="E24" s="152"/>
      <c r="F24" s="152"/>
      <c r="G24" s="152"/>
      <c r="H24" s="152"/>
      <c r="I24" s="152"/>
    </row>
    <row r="25" spans="1:9" ht="16.5" customHeight="1">
      <c r="B25" s="36" t="s">
        <v>374</v>
      </c>
      <c r="C25" s="163">
        <f>G18*(1+C5)/(C4-C5)</f>
        <v>56004533.333333336</v>
      </c>
      <c r="D25" s="163"/>
      <c r="E25" s="163"/>
      <c r="F25" s="163"/>
      <c r="G25" s="163"/>
    </row>
    <row r="26" spans="1:9" ht="16.5" customHeight="1">
      <c r="B26" s="36" t="s">
        <v>375</v>
      </c>
      <c r="C26" s="164">
        <f>C25/(1+C4)^5</f>
        <v>24480097.670685932</v>
      </c>
      <c r="D26" s="164"/>
      <c r="E26" s="164"/>
      <c r="F26" s="164"/>
      <c r="G26" s="164"/>
    </row>
    <row r="27" spans="1:9" ht="16.5" customHeight="1">
      <c r="B27" s="36" t="s">
        <v>376</v>
      </c>
      <c r="C27" s="164">
        <f>G11*C7</f>
        <v>56664000</v>
      </c>
      <c r="D27" s="164"/>
      <c r="E27" s="164"/>
      <c r="F27" s="164"/>
      <c r="G27" s="164"/>
    </row>
    <row r="28" spans="1:9" ht="16.5" customHeight="1">
      <c r="B28" s="36" t="s">
        <v>377</v>
      </c>
      <c r="C28" s="164">
        <f>C27/(1+C4)^5</f>
        <v>24768356.628482711</v>
      </c>
      <c r="D28" s="164"/>
      <c r="E28" s="164"/>
      <c r="F28" s="164"/>
      <c r="G28" s="164"/>
    </row>
    <row r="30" spans="1:9" ht="21.75" customHeight="1">
      <c r="A30" s="165" t="s">
        <v>378</v>
      </c>
      <c r="B30" s="165"/>
      <c r="C30" s="165"/>
      <c r="D30" s="165"/>
      <c r="E30" s="165"/>
      <c r="F30" s="165"/>
      <c r="G30" s="165"/>
      <c r="H30" s="165"/>
      <c r="I30" s="165"/>
    </row>
    <row r="31" spans="1:9" ht="19.5" customHeight="1">
      <c r="B31" s="114" t="s">
        <v>379</v>
      </c>
      <c r="C31" s="166">
        <f>C22+C26</f>
        <v>40942881.601310179</v>
      </c>
      <c r="D31" s="166"/>
      <c r="E31" s="166"/>
      <c r="F31" s="166"/>
      <c r="G31" s="166"/>
    </row>
    <row r="32" spans="1:9" ht="19.5" customHeight="1">
      <c r="B32" s="114" t="s">
        <v>380</v>
      </c>
      <c r="C32" s="166">
        <f>C22+C28</f>
        <v>41231140.559106953</v>
      </c>
      <c r="D32" s="166"/>
      <c r="E32" s="166"/>
      <c r="F32" s="166"/>
      <c r="G32" s="166"/>
    </row>
    <row r="33" spans="2:7" ht="19.5" customHeight="1">
      <c r="B33" s="113" t="s">
        <v>381</v>
      </c>
      <c r="C33" s="167">
        <f>AVERAGE(C31,C32)</f>
        <v>41087011.08020857</v>
      </c>
      <c r="D33" s="167"/>
      <c r="E33" s="167"/>
      <c r="F33" s="167"/>
      <c r="G33" s="167"/>
    </row>
    <row r="34" spans="2:7" ht="19.5" customHeight="1">
      <c r="B34" s="107" t="s">
        <v>382</v>
      </c>
      <c r="C34" s="168">
        <v>0</v>
      </c>
      <c r="D34" s="168"/>
      <c r="E34" s="168"/>
      <c r="F34" s="168"/>
      <c r="G34" s="168"/>
    </row>
    <row r="35" spans="2:7" ht="19.5" customHeight="1">
      <c r="B35" s="113" t="s">
        <v>383</v>
      </c>
      <c r="C35" s="167">
        <f>C33-C34</f>
        <v>41087011.08020857</v>
      </c>
      <c r="D35" s="167"/>
      <c r="E35" s="167"/>
      <c r="F35" s="167"/>
      <c r="G35" s="167"/>
    </row>
    <row r="36" spans="2:7" ht="19.5" customHeight="1">
      <c r="B36" s="115" t="s">
        <v>384</v>
      </c>
      <c r="C36" s="169">
        <f>C35*C8</f>
        <v>8217402.216041714</v>
      </c>
      <c r="D36" s="169"/>
      <c r="E36" s="169"/>
      <c r="F36" s="169"/>
      <c r="G36" s="169"/>
    </row>
    <row r="37" spans="2:7" ht="19.5" customHeight="1">
      <c r="B37" s="114" t="s">
        <v>385</v>
      </c>
      <c r="C37" s="170">
        <f>IFERROR(C33/9444000,0)</f>
        <v>4.3505941423346641</v>
      </c>
      <c r="D37" s="170"/>
      <c r="E37" s="170"/>
      <c r="F37" s="170"/>
      <c r="G37" s="170"/>
    </row>
    <row r="38" spans="2:7" ht="19.5" customHeight="1">
      <c r="B38" s="114" t="s">
        <v>386</v>
      </c>
      <c r="C38" s="170">
        <f>IFERROR(C33/6120000,0)</f>
        <v>6.7135639019948643</v>
      </c>
      <c r="D38" s="170"/>
      <c r="E38" s="170"/>
      <c r="F38" s="170"/>
      <c r="G38" s="170"/>
    </row>
  </sheetData>
  <mergeCells count="19">
    <mergeCell ref="C35:G35"/>
    <mergeCell ref="C36:G36"/>
    <mergeCell ref="C37:G37"/>
    <mergeCell ref="C38:G38"/>
    <mergeCell ref="A30:I30"/>
    <mergeCell ref="C31:G31"/>
    <mergeCell ref="C32:G32"/>
    <mergeCell ref="C33:G33"/>
    <mergeCell ref="C34:G34"/>
    <mergeCell ref="A24:I24"/>
    <mergeCell ref="C25:G25"/>
    <mergeCell ref="C26:G26"/>
    <mergeCell ref="C27:G27"/>
    <mergeCell ref="C28:G28"/>
    <mergeCell ref="A1:I1"/>
    <mergeCell ref="A3:I3"/>
    <mergeCell ref="A10:I10"/>
    <mergeCell ref="A19:I19"/>
    <mergeCell ref="C22:G2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COVER</vt:lpstr>
      <vt:lpstr>INDEX</vt:lpstr>
      <vt:lpstr>ASSUMPTIONS</vt:lpstr>
      <vt:lpstr>CAPEX</vt:lpstr>
      <vt:lpstr>REVENUE</vt:lpstr>
      <vt:lpstr>P&amp;L</vt:lpstr>
      <vt:lpstr>OPEX</vt:lpstr>
      <vt:lpstr>WORKING_CAPITAL</vt:lpstr>
      <vt:lpstr>DCF_VALUATION</vt:lpstr>
      <vt:lpstr>RETURNS_IRR</vt:lpstr>
      <vt:lpstr>SENSITIVITY</vt:lpstr>
      <vt:lpstr>BREAK_EVEN</vt:lpstr>
      <vt:lpstr>INVESTOR_DASHBOARD</vt:lpstr>
      <vt:lpstr>INVESTOR_SUMMARY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141060 : Ali</cp:lastModifiedBy>
  <cp:revision>0</cp:revision>
  <dcterms:created xsi:type="dcterms:W3CDTF">2026-05-19T06:38:06Z</dcterms:created>
  <dcterms:modified xsi:type="dcterms:W3CDTF">2026-05-21T06:06:57Z</dcterms:modified>
  <dc:language>en-US</dc:language>
</cp:coreProperties>
</file>